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245" yWindow="45" windowWidth="15480" windowHeight="9120" tabRatio="887" activeTab="2"/>
  </bookViews>
  <sheets>
    <sheet name="LEGENDA" sheetId="115" r:id="rId1"/>
    <sheet name="Summary EU27" sheetId="80" r:id="rId2"/>
    <sheet name="EU27_35%_2015_0%_2021" sheetId="120" r:id="rId3"/>
    <sheet name="EU27_PV  35% Mono_2015_0%_2021" sheetId="122" r:id="rId4"/>
    <sheet name="REF_SCENARIO Costs" sheetId="5" r:id="rId5"/>
    <sheet name="REF_EURO6 Sales" sheetId="27" r:id="rId6"/>
    <sheet name="REF_VOC Costs" sheetId="1" r:id="rId7"/>
  </sheets>
  <calcPr calcId="145621"/>
</workbook>
</file>

<file path=xl/calcChain.xml><?xml version="1.0" encoding="utf-8"?>
<calcChain xmlns="http://schemas.openxmlformats.org/spreadsheetml/2006/main">
  <c r="D33" i="27" l="1"/>
  <c r="E33" i="27"/>
  <c r="F33" i="27"/>
  <c r="G33" i="27"/>
  <c r="H33" i="27"/>
  <c r="I33" i="27"/>
  <c r="J33" i="27"/>
  <c r="K33" i="27"/>
  <c r="L33" i="27"/>
  <c r="M33" i="27"/>
  <c r="N33" i="27"/>
  <c r="O33" i="27"/>
  <c r="P33" i="27"/>
  <c r="Q33" i="27"/>
  <c r="R33" i="27"/>
  <c r="E218" i="120" l="1"/>
  <c r="T83" i="122"/>
  <c r="T71" i="122"/>
  <c r="AC47" i="122"/>
  <c r="AC54" i="122" s="1"/>
  <c r="AB47" i="122"/>
  <c r="AB54" i="122" s="1"/>
  <c r="AA47" i="122"/>
  <c r="AA54" i="122" s="1"/>
  <c r="Z47" i="122"/>
  <c r="Z54" i="122" s="1"/>
  <c r="Y47" i="122"/>
  <c r="Y54" i="122" s="1"/>
  <c r="X47" i="122"/>
  <c r="X54" i="122" s="1"/>
  <c r="W47" i="122"/>
  <c r="W54" i="122" s="1"/>
  <c r="V47" i="122"/>
  <c r="V54" i="122" s="1"/>
  <c r="U47" i="122"/>
  <c r="U54" i="122" s="1"/>
  <c r="T47" i="122"/>
  <c r="T54" i="122" s="1"/>
  <c r="S47" i="122"/>
  <c r="S54" i="122" s="1"/>
  <c r="R47" i="122"/>
  <c r="R54" i="122" s="1"/>
  <c r="Q47" i="122"/>
  <c r="Q54" i="122" s="1"/>
  <c r="P47" i="122"/>
  <c r="P54" i="122" s="1"/>
  <c r="O47" i="122"/>
  <c r="O54" i="122" s="1"/>
  <c r="N47" i="122"/>
  <c r="N54" i="122" s="1"/>
  <c r="M47" i="122"/>
  <c r="M54" i="122" s="1"/>
  <c r="L47" i="122"/>
  <c r="L54" i="122" s="1"/>
  <c r="K47" i="122"/>
  <c r="K54" i="122" s="1"/>
  <c r="J47" i="122"/>
  <c r="J54" i="122" s="1"/>
  <c r="I47" i="122"/>
  <c r="I54" i="122" s="1"/>
  <c r="H47" i="122"/>
  <c r="H54" i="122" s="1"/>
  <c r="G47" i="122"/>
  <c r="G54" i="122" s="1"/>
  <c r="F47" i="122"/>
  <c r="F54" i="122" s="1"/>
  <c r="E47" i="122"/>
  <c r="E54" i="122" s="1"/>
  <c r="D47" i="122"/>
  <c r="D54" i="122" s="1"/>
  <c r="AC46" i="122"/>
  <c r="AC53" i="122" s="1"/>
  <c r="AB46" i="122"/>
  <c r="AB53" i="122" s="1"/>
  <c r="AA46" i="122"/>
  <c r="AA53" i="122" s="1"/>
  <c r="Z46" i="122"/>
  <c r="Z53" i="122" s="1"/>
  <c r="Y46" i="122"/>
  <c r="Y53" i="122" s="1"/>
  <c r="X46" i="122"/>
  <c r="X53" i="122" s="1"/>
  <c r="W46" i="122"/>
  <c r="W53" i="122" s="1"/>
  <c r="V46" i="122"/>
  <c r="V53" i="122" s="1"/>
  <c r="U46" i="122"/>
  <c r="U53" i="122" s="1"/>
  <c r="T46" i="122"/>
  <c r="T53" i="122" s="1"/>
  <c r="S46" i="122"/>
  <c r="S53" i="122" s="1"/>
  <c r="R46" i="122"/>
  <c r="R53" i="122" s="1"/>
  <c r="Q46" i="122"/>
  <c r="Q53" i="122" s="1"/>
  <c r="P46" i="122"/>
  <c r="P53" i="122" s="1"/>
  <c r="O46" i="122"/>
  <c r="O53" i="122" s="1"/>
  <c r="N46" i="122"/>
  <c r="N53" i="122" s="1"/>
  <c r="M46" i="122"/>
  <c r="M53" i="122" s="1"/>
  <c r="L46" i="122"/>
  <c r="L53" i="122" s="1"/>
  <c r="K46" i="122"/>
  <c r="K53" i="122" s="1"/>
  <c r="J46" i="122"/>
  <c r="J53" i="122" s="1"/>
  <c r="I46" i="122"/>
  <c r="I53" i="122" s="1"/>
  <c r="H46" i="122"/>
  <c r="H53" i="122" s="1"/>
  <c r="G46" i="122"/>
  <c r="G53" i="122" s="1"/>
  <c r="F46" i="122"/>
  <c r="F53" i="122" s="1"/>
  <c r="E46" i="122"/>
  <c r="E53" i="122" s="1"/>
  <c r="D46" i="122"/>
  <c r="D53" i="122" s="1"/>
  <c r="AC45" i="122"/>
  <c r="AC52" i="122" s="1"/>
  <c r="AB45" i="122"/>
  <c r="AB52" i="122" s="1"/>
  <c r="AA45" i="122"/>
  <c r="AA52" i="122" s="1"/>
  <c r="Z45" i="122"/>
  <c r="Z52" i="122" s="1"/>
  <c r="Y45" i="122"/>
  <c r="Y52" i="122" s="1"/>
  <c r="X45" i="122"/>
  <c r="X52" i="122" s="1"/>
  <c r="W45" i="122"/>
  <c r="W52" i="122" s="1"/>
  <c r="V45" i="122"/>
  <c r="V52" i="122" s="1"/>
  <c r="U45" i="122"/>
  <c r="U52" i="122" s="1"/>
  <c r="T45" i="122"/>
  <c r="T52" i="122" s="1"/>
  <c r="S45" i="122"/>
  <c r="S52" i="122" s="1"/>
  <c r="R45" i="122"/>
  <c r="R52" i="122" s="1"/>
  <c r="Q45" i="122"/>
  <c r="Q52" i="122" s="1"/>
  <c r="P45" i="122"/>
  <c r="P52" i="122" s="1"/>
  <c r="O45" i="122"/>
  <c r="O52" i="122" s="1"/>
  <c r="N45" i="122"/>
  <c r="N52" i="122" s="1"/>
  <c r="M45" i="122"/>
  <c r="M52" i="122" s="1"/>
  <c r="L45" i="122"/>
  <c r="L52" i="122" s="1"/>
  <c r="K45" i="122"/>
  <c r="K52" i="122" s="1"/>
  <c r="J45" i="122"/>
  <c r="J52" i="122" s="1"/>
  <c r="I45" i="122"/>
  <c r="I52" i="122" s="1"/>
  <c r="H45" i="122"/>
  <c r="H52" i="122" s="1"/>
  <c r="G45" i="122"/>
  <c r="G52" i="122" s="1"/>
  <c r="F45" i="122"/>
  <c r="F52" i="122" s="1"/>
  <c r="E45" i="122"/>
  <c r="E52" i="122" s="1"/>
  <c r="D45" i="122"/>
  <c r="D52" i="122" s="1"/>
  <c r="AC44" i="122"/>
  <c r="AC51" i="122" s="1"/>
  <c r="AB44" i="122"/>
  <c r="AB51" i="122" s="1"/>
  <c r="AA44" i="122"/>
  <c r="AA51" i="122" s="1"/>
  <c r="Z44" i="122"/>
  <c r="Z51" i="122" s="1"/>
  <c r="Y44" i="122"/>
  <c r="Y51" i="122" s="1"/>
  <c r="X44" i="122"/>
  <c r="X51" i="122" s="1"/>
  <c r="W44" i="122"/>
  <c r="W51" i="122" s="1"/>
  <c r="V44" i="122"/>
  <c r="V51" i="122" s="1"/>
  <c r="U44" i="122"/>
  <c r="U51" i="122" s="1"/>
  <c r="T44" i="122"/>
  <c r="T51" i="122" s="1"/>
  <c r="S44" i="122"/>
  <c r="S51" i="122" s="1"/>
  <c r="R44" i="122"/>
  <c r="R51" i="122" s="1"/>
  <c r="Q44" i="122"/>
  <c r="Q51" i="122" s="1"/>
  <c r="P44" i="122"/>
  <c r="P51" i="122" s="1"/>
  <c r="O44" i="122"/>
  <c r="O51" i="122" s="1"/>
  <c r="N44" i="122"/>
  <c r="N51" i="122" s="1"/>
  <c r="M44" i="122"/>
  <c r="M51" i="122" s="1"/>
  <c r="L44" i="122"/>
  <c r="L51" i="122" s="1"/>
  <c r="K44" i="122"/>
  <c r="K51" i="122" s="1"/>
  <c r="J44" i="122"/>
  <c r="J51" i="122" s="1"/>
  <c r="I44" i="122"/>
  <c r="I51" i="122" s="1"/>
  <c r="H44" i="122"/>
  <c r="H51" i="122" s="1"/>
  <c r="G44" i="122"/>
  <c r="G51" i="122" s="1"/>
  <c r="F44" i="122"/>
  <c r="F51" i="122" s="1"/>
  <c r="E44" i="122"/>
  <c r="E51" i="122" s="1"/>
  <c r="D44" i="122"/>
  <c r="D51" i="122" s="1"/>
  <c r="E95" i="122" l="1"/>
  <c r="G95" i="122"/>
  <c r="I95" i="122"/>
  <c r="K95" i="122"/>
  <c r="M95" i="122"/>
  <c r="O95" i="122"/>
  <c r="Q95" i="122"/>
  <c r="S95" i="122"/>
  <c r="U95" i="122"/>
  <c r="W95" i="122"/>
  <c r="Y95" i="122"/>
  <c r="AA95" i="122"/>
  <c r="AC95" i="122"/>
  <c r="E96" i="122"/>
  <c r="G96" i="122"/>
  <c r="I96" i="122"/>
  <c r="K96" i="122"/>
  <c r="M96" i="122"/>
  <c r="O96" i="122"/>
  <c r="Q96" i="122"/>
  <c r="S96" i="122"/>
  <c r="U96" i="122"/>
  <c r="W96" i="122"/>
  <c r="Y96" i="122"/>
  <c r="AA96" i="122"/>
  <c r="AC96" i="122"/>
  <c r="E97" i="122"/>
  <c r="G97" i="122"/>
  <c r="I97" i="122"/>
  <c r="K97" i="122"/>
  <c r="M97" i="122"/>
  <c r="O97" i="122"/>
  <c r="Q97" i="122"/>
  <c r="S97" i="122"/>
  <c r="U97" i="122"/>
  <c r="W97" i="122"/>
  <c r="Y97" i="122"/>
  <c r="AA97" i="122"/>
  <c r="AC97" i="122"/>
  <c r="E98" i="122"/>
  <c r="G98" i="122"/>
  <c r="I98" i="122"/>
  <c r="K98" i="122"/>
  <c r="M98" i="122"/>
  <c r="O98" i="122"/>
  <c r="Q98" i="122"/>
  <c r="D95" i="122"/>
  <c r="F95" i="122"/>
  <c r="H95" i="122"/>
  <c r="J95" i="122"/>
  <c r="L95" i="122"/>
  <c r="N95" i="122"/>
  <c r="P95" i="122"/>
  <c r="R95" i="122"/>
  <c r="T95" i="122"/>
  <c r="V95" i="122"/>
  <c r="X95" i="122"/>
  <c r="Z95" i="122"/>
  <c r="AB95" i="122"/>
  <c r="D96" i="122"/>
  <c r="F96" i="122"/>
  <c r="H96" i="122"/>
  <c r="J96" i="122"/>
  <c r="L96" i="122"/>
  <c r="N96" i="122"/>
  <c r="P96" i="122"/>
  <c r="R96" i="122"/>
  <c r="T96" i="122"/>
  <c r="V96" i="122"/>
  <c r="X96" i="122"/>
  <c r="Z96" i="122"/>
  <c r="AB96" i="122"/>
  <c r="D97" i="122"/>
  <c r="F97" i="122"/>
  <c r="H97" i="122"/>
  <c r="J97" i="122"/>
  <c r="L97" i="122"/>
  <c r="N97" i="122"/>
  <c r="P97" i="122"/>
  <c r="R97" i="122"/>
  <c r="T97" i="122"/>
  <c r="V97" i="122"/>
  <c r="X97" i="122"/>
  <c r="Z97" i="122"/>
  <c r="AB97" i="122"/>
  <c r="D98" i="122"/>
  <c r="F98" i="122"/>
  <c r="H98" i="122"/>
  <c r="J98" i="122"/>
  <c r="L98" i="122"/>
  <c r="N98" i="122"/>
  <c r="P98" i="122"/>
  <c r="S98" i="122"/>
  <c r="U98" i="122"/>
  <c r="W98" i="122"/>
  <c r="Y98" i="122"/>
  <c r="AA98" i="122"/>
  <c r="AC98" i="122"/>
  <c r="R98" i="122"/>
  <c r="T98" i="122"/>
  <c r="V98" i="122"/>
  <c r="X98" i="122"/>
  <c r="Z98" i="122"/>
  <c r="AB98" i="122"/>
  <c r="AB261" i="120"/>
  <c r="AA261" i="120"/>
  <c r="Z261" i="120"/>
  <c r="Y261" i="120"/>
  <c r="X261" i="120"/>
  <c r="W261" i="120"/>
  <c r="V261" i="120"/>
  <c r="U261" i="120"/>
  <c r="T261" i="120"/>
  <c r="S261" i="120"/>
  <c r="R261" i="120"/>
  <c r="Q261" i="120"/>
  <c r="P261" i="120"/>
  <c r="O261" i="120"/>
  <c r="N261" i="120"/>
  <c r="M261" i="120"/>
  <c r="L261" i="120"/>
  <c r="K261" i="120"/>
  <c r="J261" i="120"/>
  <c r="I261" i="120"/>
  <c r="H261" i="120"/>
  <c r="G261" i="120"/>
  <c r="F261" i="120"/>
  <c r="E261" i="120"/>
  <c r="D261" i="120"/>
  <c r="C261" i="120"/>
  <c r="AB260" i="120"/>
  <c r="AA260" i="120"/>
  <c r="Z260" i="120"/>
  <c r="Y260" i="120"/>
  <c r="X260" i="120"/>
  <c r="W260" i="120"/>
  <c r="V260" i="120"/>
  <c r="U260" i="120"/>
  <c r="T260" i="120"/>
  <c r="S260" i="120"/>
  <c r="R260" i="120"/>
  <c r="Q260" i="120"/>
  <c r="P260" i="120"/>
  <c r="O260" i="120"/>
  <c r="N260" i="120"/>
  <c r="M260" i="120"/>
  <c r="L260" i="120"/>
  <c r="K260" i="120"/>
  <c r="J260" i="120"/>
  <c r="I260" i="120"/>
  <c r="H260" i="120"/>
  <c r="G260" i="120"/>
  <c r="F260" i="120"/>
  <c r="E260" i="120"/>
  <c r="D260" i="120"/>
  <c r="C260" i="120"/>
  <c r="AB259" i="120"/>
  <c r="AA259" i="120"/>
  <c r="Z259" i="120"/>
  <c r="Y259" i="120"/>
  <c r="X259" i="120"/>
  <c r="W259" i="120"/>
  <c r="V259" i="120"/>
  <c r="U259" i="120"/>
  <c r="T259" i="120"/>
  <c r="S259" i="120"/>
  <c r="R259" i="120"/>
  <c r="Q259" i="120"/>
  <c r="P259" i="120"/>
  <c r="O259" i="120"/>
  <c r="N259" i="120"/>
  <c r="M259" i="120"/>
  <c r="L259" i="120"/>
  <c r="K259" i="120"/>
  <c r="J259" i="120"/>
  <c r="I259" i="120"/>
  <c r="H259" i="120"/>
  <c r="G259" i="120"/>
  <c r="F259" i="120"/>
  <c r="E259" i="120"/>
  <c r="D259" i="120"/>
  <c r="C259" i="120"/>
  <c r="AB258" i="120"/>
  <c r="AA258" i="120"/>
  <c r="Z258" i="120"/>
  <c r="Y258" i="120"/>
  <c r="X258" i="120"/>
  <c r="W258" i="120"/>
  <c r="V258" i="120"/>
  <c r="U258" i="120"/>
  <c r="T258" i="120"/>
  <c r="S258" i="120"/>
  <c r="R258" i="120"/>
  <c r="Q258" i="120"/>
  <c r="P258" i="120"/>
  <c r="O258" i="120"/>
  <c r="N258" i="120"/>
  <c r="M258" i="120"/>
  <c r="L258" i="120"/>
  <c r="K258" i="120"/>
  <c r="J258" i="120"/>
  <c r="I258" i="120"/>
  <c r="H258" i="120"/>
  <c r="G258" i="120"/>
  <c r="F258" i="120"/>
  <c r="E258" i="120"/>
  <c r="D258" i="120"/>
  <c r="C258" i="120"/>
  <c r="AB247" i="120"/>
  <c r="AA247" i="120"/>
  <c r="Z247" i="120"/>
  <c r="Y247" i="120"/>
  <c r="X247" i="120"/>
  <c r="W247" i="120"/>
  <c r="V247" i="120"/>
  <c r="U247" i="120"/>
  <c r="T247" i="120"/>
  <c r="S247" i="120"/>
  <c r="R247" i="120"/>
  <c r="Q247" i="120"/>
  <c r="P247" i="120"/>
  <c r="O247" i="120"/>
  <c r="N247" i="120"/>
  <c r="M247" i="120"/>
  <c r="L247" i="120"/>
  <c r="K247" i="120"/>
  <c r="J247" i="120"/>
  <c r="I247" i="120"/>
  <c r="H247" i="120"/>
  <c r="G247" i="120"/>
  <c r="F247" i="120"/>
  <c r="E247" i="120"/>
  <c r="D247" i="120"/>
  <c r="C247" i="120"/>
  <c r="AB246" i="120"/>
  <c r="AA246" i="120"/>
  <c r="Z246" i="120"/>
  <c r="Y246" i="120"/>
  <c r="X246" i="120"/>
  <c r="W246" i="120"/>
  <c r="V246" i="120"/>
  <c r="U246" i="120"/>
  <c r="T246" i="120"/>
  <c r="S246" i="120"/>
  <c r="R246" i="120"/>
  <c r="Q246" i="120"/>
  <c r="P246" i="120"/>
  <c r="O246" i="120"/>
  <c r="N246" i="120"/>
  <c r="M246" i="120"/>
  <c r="L246" i="120"/>
  <c r="K246" i="120"/>
  <c r="J246" i="120"/>
  <c r="I246" i="120"/>
  <c r="H246" i="120"/>
  <c r="G246" i="120"/>
  <c r="F246" i="120"/>
  <c r="E246" i="120"/>
  <c r="D246" i="120"/>
  <c r="C246" i="120"/>
  <c r="AB245" i="120"/>
  <c r="AA245" i="120"/>
  <c r="Z245" i="120"/>
  <c r="Y245" i="120"/>
  <c r="X245" i="120"/>
  <c r="W245" i="120"/>
  <c r="V245" i="120"/>
  <c r="U245" i="120"/>
  <c r="T245" i="120"/>
  <c r="S245" i="120"/>
  <c r="R245" i="120"/>
  <c r="Q245" i="120"/>
  <c r="P245" i="120"/>
  <c r="O245" i="120"/>
  <c r="N245" i="120"/>
  <c r="M245" i="120"/>
  <c r="L245" i="120"/>
  <c r="K245" i="120"/>
  <c r="J245" i="120"/>
  <c r="I245" i="120"/>
  <c r="H245" i="120"/>
  <c r="G245" i="120"/>
  <c r="F245" i="120"/>
  <c r="E245" i="120"/>
  <c r="D245" i="120"/>
  <c r="C245" i="120"/>
  <c r="AB244" i="120"/>
  <c r="AA244" i="120"/>
  <c r="Z244" i="120"/>
  <c r="Y244" i="120"/>
  <c r="X244" i="120"/>
  <c r="W244" i="120"/>
  <c r="V244" i="120"/>
  <c r="U244" i="120"/>
  <c r="T244" i="120"/>
  <c r="S244" i="120"/>
  <c r="R244" i="120"/>
  <c r="Q244" i="120"/>
  <c r="P244" i="120"/>
  <c r="O244" i="120"/>
  <c r="N244" i="120"/>
  <c r="M244" i="120"/>
  <c r="L244" i="120"/>
  <c r="K244" i="120"/>
  <c r="J244" i="120"/>
  <c r="I244" i="120"/>
  <c r="H244" i="120"/>
  <c r="G244" i="120"/>
  <c r="F244" i="120"/>
  <c r="E244" i="120"/>
  <c r="D244" i="120"/>
  <c r="C244" i="120"/>
  <c r="AB224" i="120"/>
  <c r="AA224" i="120"/>
  <c r="Z224" i="120"/>
  <c r="Y224" i="120"/>
  <c r="X224" i="120"/>
  <c r="W224" i="120"/>
  <c r="V224" i="120"/>
  <c r="U224" i="120"/>
  <c r="T224" i="120"/>
  <c r="S224" i="120"/>
  <c r="R224" i="120"/>
  <c r="Q224" i="120"/>
  <c r="P224" i="120"/>
  <c r="O224" i="120"/>
  <c r="N224" i="120"/>
  <c r="M224" i="120"/>
  <c r="L224" i="120"/>
  <c r="K224" i="120"/>
  <c r="J224" i="120"/>
  <c r="I224" i="120"/>
  <c r="H224" i="120"/>
  <c r="G224" i="120"/>
  <c r="F224" i="120"/>
  <c r="E224" i="120"/>
  <c r="D224" i="120"/>
  <c r="C224" i="120"/>
  <c r="AB223" i="120"/>
  <c r="AA223" i="120"/>
  <c r="Z223" i="120"/>
  <c r="Y223" i="120"/>
  <c r="X223" i="120"/>
  <c r="W223" i="120"/>
  <c r="V223" i="120"/>
  <c r="U223" i="120"/>
  <c r="T223" i="120"/>
  <c r="S223" i="120"/>
  <c r="R223" i="120"/>
  <c r="Q223" i="120"/>
  <c r="P223" i="120"/>
  <c r="O223" i="120"/>
  <c r="N223" i="120"/>
  <c r="M223" i="120"/>
  <c r="L223" i="120"/>
  <c r="K223" i="120"/>
  <c r="J223" i="120"/>
  <c r="I223" i="120"/>
  <c r="H223" i="120"/>
  <c r="G223" i="120"/>
  <c r="F223" i="120"/>
  <c r="E223" i="120"/>
  <c r="D223" i="120"/>
  <c r="C223" i="120"/>
  <c r="AB222" i="120"/>
  <c r="AA222" i="120"/>
  <c r="Z222" i="120"/>
  <c r="Y222" i="120"/>
  <c r="X222" i="120"/>
  <c r="W222" i="120"/>
  <c r="V222" i="120"/>
  <c r="U222" i="120"/>
  <c r="T222" i="120"/>
  <c r="S222" i="120"/>
  <c r="R222" i="120"/>
  <c r="Q222" i="120"/>
  <c r="P222" i="120"/>
  <c r="O222" i="120"/>
  <c r="N222" i="120"/>
  <c r="M222" i="120"/>
  <c r="L222" i="120"/>
  <c r="K222" i="120"/>
  <c r="J222" i="120"/>
  <c r="I222" i="120"/>
  <c r="H222" i="120"/>
  <c r="G222" i="120"/>
  <c r="F222" i="120"/>
  <c r="E222" i="120"/>
  <c r="D222" i="120"/>
  <c r="C222" i="120"/>
  <c r="AB221" i="120"/>
  <c r="AA221" i="120"/>
  <c r="Z221" i="120"/>
  <c r="Y221" i="120"/>
  <c r="X221" i="120"/>
  <c r="W221" i="120"/>
  <c r="V221" i="120"/>
  <c r="U221" i="120"/>
  <c r="T221" i="120"/>
  <c r="S221" i="120"/>
  <c r="R221" i="120"/>
  <c r="Q221" i="120"/>
  <c r="P221" i="120"/>
  <c r="O221" i="120"/>
  <c r="N221" i="120"/>
  <c r="M221" i="120"/>
  <c r="L221" i="120"/>
  <c r="K221" i="120"/>
  <c r="J221" i="120"/>
  <c r="I221" i="120"/>
  <c r="H221" i="120"/>
  <c r="G221" i="120"/>
  <c r="F221" i="120"/>
  <c r="E221" i="120"/>
  <c r="D221" i="120"/>
  <c r="C221" i="120"/>
  <c r="C266" i="120" l="1"/>
  <c r="D266" i="120" s="1"/>
  <c r="C268" i="120"/>
  <c r="D268" i="120" s="1"/>
  <c r="C267" i="120"/>
  <c r="D267" i="120" s="1"/>
  <c r="C265" i="120"/>
  <c r="D265" i="120" s="1"/>
  <c r="K85" i="122"/>
  <c r="K90" i="122" s="1"/>
  <c r="I85" i="122"/>
  <c r="K73" i="122"/>
  <c r="K78" i="122" s="1"/>
  <c r="I73" i="122"/>
  <c r="L85" i="122"/>
  <c r="L90" i="122" s="1"/>
  <c r="J85" i="122"/>
  <c r="J90" i="122" s="1"/>
  <c r="L73" i="122"/>
  <c r="L78" i="122" s="1"/>
  <c r="J73" i="122"/>
  <c r="J78" i="122" s="1"/>
  <c r="K83" i="122"/>
  <c r="K88" i="122" s="1"/>
  <c r="I83" i="122"/>
  <c r="I88" i="122" s="1"/>
  <c r="K71" i="122"/>
  <c r="K76" i="122" s="1"/>
  <c r="I71" i="122"/>
  <c r="I76" i="122" s="1"/>
  <c r="L83" i="122"/>
  <c r="L88" i="122" s="1"/>
  <c r="J83" i="122"/>
  <c r="J88" i="122" s="1"/>
  <c r="L71" i="122"/>
  <c r="L76" i="122" s="1"/>
  <c r="J71" i="122"/>
  <c r="J76" i="122" s="1"/>
  <c r="K86" i="122"/>
  <c r="K91" i="122" s="1"/>
  <c r="I86" i="122"/>
  <c r="K74" i="122"/>
  <c r="K79" i="122" s="1"/>
  <c r="I74" i="122"/>
  <c r="L86" i="122"/>
  <c r="L91" i="122" s="1"/>
  <c r="J86" i="122"/>
  <c r="J91" i="122" s="1"/>
  <c r="L74" i="122"/>
  <c r="L79" i="122" s="1"/>
  <c r="J74" i="122"/>
  <c r="J79" i="122" s="1"/>
  <c r="K84" i="122"/>
  <c r="K89" i="122" s="1"/>
  <c r="I84" i="122"/>
  <c r="K72" i="122"/>
  <c r="K77" i="122" s="1"/>
  <c r="I72" i="122"/>
  <c r="L84" i="122"/>
  <c r="L89" i="122" s="1"/>
  <c r="J84" i="122"/>
  <c r="J89" i="122" s="1"/>
  <c r="L72" i="122"/>
  <c r="L77" i="122" s="1"/>
  <c r="J72" i="122"/>
  <c r="J77" i="122" s="1"/>
  <c r="F228" i="120"/>
  <c r="F229" i="120"/>
  <c r="F230" i="120"/>
  <c r="F231" i="120"/>
  <c r="E251" i="120"/>
  <c r="E252" i="120"/>
  <c r="E253" i="120"/>
  <c r="E254" i="120"/>
  <c r="C228" i="120"/>
  <c r="E228" i="120"/>
  <c r="C229" i="120"/>
  <c r="E229" i="120"/>
  <c r="C230" i="120"/>
  <c r="E230" i="120"/>
  <c r="C231" i="120"/>
  <c r="E231" i="120"/>
  <c r="D251" i="120"/>
  <c r="F251" i="120"/>
  <c r="D252" i="120"/>
  <c r="F252" i="120"/>
  <c r="D253" i="120"/>
  <c r="F253" i="120"/>
  <c r="D254" i="120"/>
  <c r="F254" i="120"/>
  <c r="D228" i="120"/>
  <c r="D229" i="120"/>
  <c r="D230" i="120"/>
  <c r="D231" i="120"/>
  <c r="C251" i="120"/>
  <c r="C252" i="120"/>
  <c r="C253" i="120"/>
  <c r="C254" i="120"/>
  <c r="I124" i="5"/>
  <c r="J124" i="5"/>
  <c r="K124" i="5"/>
  <c r="K125" i="5" s="1"/>
  <c r="L124" i="5"/>
  <c r="M124" i="5"/>
  <c r="M125" i="5" s="1"/>
  <c r="N124" i="5"/>
  <c r="N125" i="5" s="1"/>
  <c r="O124" i="5"/>
  <c r="O125" i="5" s="1"/>
  <c r="O127" i="5" s="1"/>
  <c r="P124" i="5"/>
  <c r="P125" i="5" s="1"/>
  <c r="P127" i="5" s="1"/>
  <c r="Q124" i="5"/>
  <c r="R124" i="5"/>
  <c r="R125" i="5" s="1"/>
  <c r="S124" i="5"/>
  <c r="S125" i="5" s="1"/>
  <c r="T124" i="5"/>
  <c r="T125" i="5" s="1"/>
  <c r="U124" i="5"/>
  <c r="U125" i="5" s="1"/>
  <c r="U126" i="5" s="1"/>
  <c r="V124" i="5"/>
  <c r="V125" i="5" s="1"/>
  <c r="V126" i="5" s="1"/>
  <c r="W124" i="5"/>
  <c r="W125" i="5" s="1"/>
  <c r="W127" i="5" s="1"/>
  <c r="X124" i="5"/>
  <c r="X125" i="5" s="1"/>
  <c r="X127" i="5" s="1"/>
  <c r="Y124" i="5"/>
  <c r="Z124" i="5"/>
  <c r="Z125" i="5" s="1"/>
  <c r="AA124" i="5"/>
  <c r="AA125" i="5" s="1"/>
  <c r="AB124" i="5"/>
  <c r="J115" i="5"/>
  <c r="J116" i="5" s="1"/>
  <c r="J117" i="5" s="1"/>
  <c r="K115" i="5"/>
  <c r="K116" i="5" s="1"/>
  <c r="K117" i="5" s="1"/>
  <c r="L115" i="5"/>
  <c r="M115" i="5"/>
  <c r="N115" i="5"/>
  <c r="O115" i="5"/>
  <c r="O116" i="5" s="1"/>
  <c r="P115" i="5"/>
  <c r="P116" i="5" s="1"/>
  <c r="Q115" i="5"/>
  <c r="Q116" i="5" s="1"/>
  <c r="R115" i="5"/>
  <c r="R116" i="5" s="1"/>
  <c r="R117" i="5" s="1"/>
  <c r="S115" i="5"/>
  <c r="S116" i="5" s="1"/>
  <c r="S117" i="5" s="1"/>
  <c r="T115" i="5"/>
  <c r="U115" i="5"/>
  <c r="U116" i="5" s="1"/>
  <c r="V115" i="5"/>
  <c r="V116" i="5" s="1"/>
  <c r="W115" i="5"/>
  <c r="W116" i="5" s="1"/>
  <c r="X115" i="5"/>
  <c r="X116" i="5" s="1"/>
  <c r="Y115" i="5"/>
  <c r="Y116" i="5" s="1"/>
  <c r="Y117" i="5" s="1"/>
  <c r="Z115" i="5"/>
  <c r="Z116" i="5" s="1"/>
  <c r="Z117" i="5" s="1"/>
  <c r="AA115" i="5"/>
  <c r="AA116" i="5" s="1"/>
  <c r="AA117" i="5" s="1"/>
  <c r="AB115" i="5"/>
  <c r="AB116" i="5" s="1"/>
  <c r="AB117" i="5" s="1"/>
  <c r="I115" i="5"/>
  <c r="H115" i="5"/>
  <c r="G115" i="5"/>
  <c r="F115" i="5"/>
  <c r="F116" i="5" s="1"/>
  <c r="E115" i="5"/>
  <c r="E116" i="5" s="1"/>
  <c r="E118" i="5" s="1"/>
  <c r="D115" i="5"/>
  <c r="D116" i="5" s="1"/>
  <c r="D118" i="5" s="1"/>
  <c r="H124" i="5"/>
  <c r="H125" i="5" s="1"/>
  <c r="H127" i="5" s="1"/>
  <c r="G124" i="5"/>
  <c r="F124" i="5"/>
  <c r="E124" i="5"/>
  <c r="D124" i="5"/>
  <c r="D125" i="5" s="1"/>
  <c r="AB125" i="5"/>
  <c r="Y125" i="5"/>
  <c r="Y127" i="5" s="1"/>
  <c r="Q125" i="5"/>
  <c r="Q127" i="5" s="1"/>
  <c r="L125" i="5"/>
  <c r="J125" i="5"/>
  <c r="J127" i="5" s="1"/>
  <c r="I125" i="5"/>
  <c r="I127" i="5" s="1"/>
  <c r="G125" i="5"/>
  <c r="G126" i="5" s="1"/>
  <c r="F125" i="5"/>
  <c r="E125" i="5"/>
  <c r="E126" i="5" s="1"/>
  <c r="C124" i="5"/>
  <c r="C125" i="5" s="1"/>
  <c r="E121" i="5"/>
  <c r="F121" i="5" s="1"/>
  <c r="G121" i="5" s="1"/>
  <c r="H121" i="5" s="1"/>
  <c r="N116" i="5"/>
  <c r="N118" i="5" s="1"/>
  <c r="M116" i="5"/>
  <c r="M118" i="5" s="1"/>
  <c r="T116" i="5"/>
  <c r="T118" i="5" s="1"/>
  <c r="L116" i="5"/>
  <c r="L117" i="5" s="1"/>
  <c r="I116" i="5"/>
  <c r="I117" i="5" s="1"/>
  <c r="H116" i="5"/>
  <c r="G116" i="5"/>
  <c r="C115" i="5"/>
  <c r="C116" i="5" s="1"/>
  <c r="C117" i="5" s="1"/>
  <c r="E112" i="5"/>
  <c r="F112" i="5" s="1"/>
  <c r="G112" i="5" s="1"/>
  <c r="H112" i="5" s="1"/>
  <c r="I122" i="122" l="1"/>
  <c r="I91" i="120"/>
  <c r="S87" i="120"/>
  <c r="S118" i="122"/>
  <c r="M126" i="5"/>
  <c r="M127" i="5"/>
  <c r="F118" i="5"/>
  <c r="F117" i="5"/>
  <c r="R127" i="5"/>
  <c r="R126" i="5"/>
  <c r="N88" i="120"/>
  <c r="N119" i="122"/>
  <c r="W121" i="122"/>
  <c r="W90" i="120"/>
  <c r="W186" i="120" s="1"/>
  <c r="T87" i="120"/>
  <c r="T184" i="120" s="1"/>
  <c r="T118" i="122"/>
  <c r="AA87" i="120"/>
  <c r="AA184" i="120" s="1"/>
  <c r="AA118" i="122"/>
  <c r="V90" i="120"/>
  <c r="V186" i="120" s="1"/>
  <c r="V121" i="122"/>
  <c r="M117" i="5"/>
  <c r="AB87" i="120"/>
  <c r="AB184" i="120" s="1"/>
  <c r="AB118" i="122"/>
  <c r="L118" i="122"/>
  <c r="L87" i="120"/>
  <c r="E119" i="122"/>
  <c r="E88" i="120"/>
  <c r="K118" i="122"/>
  <c r="K87" i="120"/>
  <c r="F119" i="122"/>
  <c r="F88" i="120"/>
  <c r="M118" i="122"/>
  <c r="M87" i="120"/>
  <c r="J122" i="122"/>
  <c r="J91" i="120"/>
  <c r="K122" i="122"/>
  <c r="K91" i="120"/>
  <c r="U119" i="122"/>
  <c r="U88" i="120"/>
  <c r="U185" i="120" s="1"/>
  <c r="F90" i="120"/>
  <c r="F121" i="122"/>
  <c r="R122" i="122"/>
  <c r="R91" i="120"/>
  <c r="D118" i="122"/>
  <c r="D87" i="120"/>
  <c r="F126" i="5"/>
  <c r="F127" i="5"/>
  <c r="O119" i="122"/>
  <c r="O88" i="120"/>
  <c r="H121" i="122"/>
  <c r="H90" i="120"/>
  <c r="Z118" i="122"/>
  <c r="Z87" i="120"/>
  <c r="Z184" i="120" s="1"/>
  <c r="Z91" i="120"/>
  <c r="Z187" i="120" s="1"/>
  <c r="Z122" i="122"/>
  <c r="J118" i="122"/>
  <c r="J87" i="120"/>
  <c r="Y122" i="122"/>
  <c r="Y91" i="120"/>
  <c r="Y187" i="120" s="1"/>
  <c r="Q122" i="122"/>
  <c r="Q91" i="120"/>
  <c r="AC87" i="120"/>
  <c r="AC184" i="120" s="1"/>
  <c r="AC118" i="122"/>
  <c r="X122" i="122"/>
  <c r="X91" i="120"/>
  <c r="X187" i="120" s="1"/>
  <c r="P122" i="122"/>
  <c r="P91" i="120"/>
  <c r="I77" i="122"/>
  <c r="I89" i="122"/>
  <c r="I79" i="122"/>
  <c r="I91" i="122"/>
  <c r="I78" i="122"/>
  <c r="I90" i="122"/>
  <c r="N126" i="5"/>
  <c r="N127" i="5"/>
  <c r="U127" i="5"/>
  <c r="V127" i="5"/>
  <c r="Q126" i="5"/>
  <c r="Q117" i="5"/>
  <c r="Q118" i="5"/>
  <c r="V118" i="5"/>
  <c r="V117" i="5"/>
  <c r="U118" i="5"/>
  <c r="U117" i="5"/>
  <c r="T117" i="5"/>
  <c r="E117" i="5"/>
  <c r="D117" i="5"/>
  <c r="C127" i="5"/>
  <c r="C126" i="5"/>
  <c r="S127" i="5"/>
  <c r="S126" i="5"/>
  <c r="G118" i="5"/>
  <c r="G117" i="5"/>
  <c r="W118" i="5"/>
  <c r="W117" i="5"/>
  <c r="D127" i="5"/>
  <c r="D126" i="5"/>
  <c r="T127" i="5"/>
  <c r="T126" i="5"/>
  <c r="H118" i="5"/>
  <c r="H117" i="5"/>
  <c r="X118" i="5"/>
  <c r="X117" i="5"/>
  <c r="J118" i="5"/>
  <c r="Z118" i="5"/>
  <c r="O126" i="5"/>
  <c r="O118" i="5"/>
  <c r="O117" i="5"/>
  <c r="K118" i="5"/>
  <c r="AA118" i="5"/>
  <c r="Z127" i="5"/>
  <c r="Z126" i="5"/>
  <c r="P126" i="5"/>
  <c r="G127" i="5"/>
  <c r="P118" i="5"/>
  <c r="P117" i="5"/>
  <c r="L118" i="5"/>
  <c r="AB118" i="5"/>
  <c r="K127" i="5"/>
  <c r="K126" i="5"/>
  <c r="AA127" i="5"/>
  <c r="AA126" i="5"/>
  <c r="L127" i="5"/>
  <c r="L126" i="5"/>
  <c r="AB127" i="5"/>
  <c r="AB126" i="5"/>
  <c r="R118" i="5"/>
  <c r="W126" i="5"/>
  <c r="C118" i="5"/>
  <c r="S118" i="5"/>
  <c r="H126" i="5"/>
  <c r="X126" i="5"/>
  <c r="N117" i="5"/>
  <c r="I126" i="5"/>
  <c r="Y126" i="5"/>
  <c r="I118" i="5"/>
  <c r="Y118" i="5"/>
  <c r="J126" i="5"/>
  <c r="E127" i="5"/>
  <c r="T88" i="120" l="1"/>
  <c r="T185" i="120" s="1"/>
  <c r="T119" i="122"/>
  <c r="W118" i="122"/>
  <c r="W87" i="120"/>
  <c r="W184" i="120" s="1"/>
  <c r="D121" i="122"/>
  <c r="D90" i="120"/>
  <c r="K90" i="120"/>
  <c r="K121" i="122"/>
  <c r="AB121" i="122"/>
  <c r="AB90" i="120"/>
  <c r="AB186" i="120" s="1"/>
  <c r="H122" i="122"/>
  <c r="H91" i="120"/>
  <c r="P90" i="120"/>
  <c r="P121" i="122"/>
  <c r="U122" i="122"/>
  <c r="U91" i="120"/>
  <c r="U187" i="120" s="1"/>
  <c r="T122" i="122"/>
  <c r="T91" i="120"/>
  <c r="T187" i="120" s="1"/>
  <c r="O121" i="122"/>
  <c r="O90" i="120"/>
  <c r="G87" i="120"/>
  <c r="G118" i="122"/>
  <c r="Z88" i="120"/>
  <c r="Z185" i="120" s="1"/>
  <c r="Z119" i="122"/>
  <c r="D119" i="122"/>
  <c r="D88" i="120"/>
  <c r="AB91" i="120"/>
  <c r="AB187" i="120" s="1"/>
  <c r="AB122" i="122"/>
  <c r="Q121" i="122"/>
  <c r="Q90" i="120"/>
  <c r="AA119" i="122"/>
  <c r="AA88" i="120"/>
  <c r="AA185" i="120" s="1"/>
  <c r="E121" i="122"/>
  <c r="E90" i="120"/>
  <c r="W119" i="122"/>
  <c r="W88" i="120"/>
  <c r="W185" i="120" s="1"/>
  <c r="G90" i="120"/>
  <c r="G121" i="122"/>
  <c r="Z121" i="122"/>
  <c r="Z90" i="120"/>
  <c r="Z186" i="120" s="1"/>
  <c r="S88" i="120"/>
  <c r="S119" i="122"/>
  <c r="L122" i="122"/>
  <c r="L91" i="120"/>
  <c r="AA122" i="122"/>
  <c r="AA91" i="120"/>
  <c r="AA187" i="120" s="1"/>
  <c r="Y87" i="120"/>
  <c r="Y184" i="120" s="1"/>
  <c r="Y118" i="122"/>
  <c r="X118" i="122"/>
  <c r="X87" i="120"/>
  <c r="X184" i="120" s="1"/>
  <c r="E87" i="120"/>
  <c r="E118" i="122"/>
  <c r="R87" i="120"/>
  <c r="R118" i="122"/>
  <c r="N118" i="122"/>
  <c r="N87" i="120"/>
  <c r="G119" i="122"/>
  <c r="G88" i="120"/>
  <c r="J119" i="122"/>
  <c r="J88" i="120"/>
  <c r="X90" i="120"/>
  <c r="X186" i="120" s="1"/>
  <c r="X121" i="122"/>
  <c r="L121" i="122"/>
  <c r="L90" i="120"/>
  <c r="AA121" i="122"/>
  <c r="AA90" i="120"/>
  <c r="AA186" i="120" s="1"/>
  <c r="K119" i="122"/>
  <c r="K88" i="120"/>
  <c r="E91" i="120"/>
  <c r="E122" i="122"/>
  <c r="D122" i="122"/>
  <c r="D91" i="120"/>
  <c r="R88" i="120"/>
  <c r="R119" i="122"/>
  <c r="N91" i="120"/>
  <c r="N122" i="122"/>
  <c r="N121" i="122"/>
  <c r="N90" i="120"/>
  <c r="AC90" i="120"/>
  <c r="AC186" i="120" s="1"/>
  <c r="AC121" i="122"/>
  <c r="AB88" i="120"/>
  <c r="AB185" i="120" s="1"/>
  <c r="AB119" i="122"/>
  <c r="X119" i="122"/>
  <c r="X88" i="120"/>
  <c r="X185" i="120" s="1"/>
  <c r="R121" i="122"/>
  <c r="R90" i="120"/>
  <c r="AC122" i="122"/>
  <c r="AC91" i="120"/>
  <c r="AC187" i="120" s="1"/>
  <c r="M119" i="122"/>
  <c r="M88" i="120"/>
  <c r="I87" i="120"/>
  <c r="I118" i="122"/>
  <c r="U118" i="122"/>
  <c r="U87" i="120"/>
  <c r="U184" i="120" s="1"/>
  <c r="I119" i="122"/>
  <c r="I88" i="120"/>
  <c r="S90" i="120"/>
  <c r="S121" i="122"/>
  <c r="J90" i="120"/>
  <c r="J121" i="122"/>
  <c r="AC119" i="122"/>
  <c r="AC88" i="120"/>
  <c r="AC185" i="120" s="1"/>
  <c r="Y88" i="120"/>
  <c r="Y185" i="120" s="1"/>
  <c r="Y119" i="122"/>
  <c r="F118" i="122"/>
  <c r="F87" i="120"/>
  <c r="O118" i="122"/>
  <c r="O87" i="120"/>
  <c r="L119" i="122"/>
  <c r="L88" i="120"/>
  <c r="H118" i="122"/>
  <c r="H87" i="120"/>
  <c r="W122" i="122"/>
  <c r="W91" i="120"/>
  <c r="W187" i="120" s="1"/>
  <c r="Y121" i="122"/>
  <c r="Y90" i="120"/>
  <c r="Y186" i="120" s="1"/>
  <c r="M121" i="122"/>
  <c r="M90" i="120"/>
  <c r="Q118" i="122"/>
  <c r="Q87" i="120"/>
  <c r="P118" i="122"/>
  <c r="P87" i="120"/>
  <c r="H119" i="122"/>
  <c r="H88" i="120"/>
  <c r="V118" i="122"/>
  <c r="V87" i="120"/>
  <c r="V184" i="120" s="1"/>
  <c r="V91" i="120"/>
  <c r="V187" i="120" s="1"/>
  <c r="V122" i="122"/>
  <c r="F122" i="122"/>
  <c r="F91" i="120"/>
  <c r="I121" i="122"/>
  <c r="I90" i="120"/>
  <c r="M122" i="122"/>
  <c r="M91" i="120"/>
  <c r="Q119" i="122"/>
  <c r="Q88" i="120"/>
  <c r="P119" i="122"/>
  <c r="P88" i="120"/>
  <c r="U90" i="120"/>
  <c r="U186" i="120" s="1"/>
  <c r="U121" i="122"/>
  <c r="T121" i="122"/>
  <c r="T90" i="120"/>
  <c r="T186" i="120" s="1"/>
  <c r="V119" i="122"/>
  <c r="V88" i="120"/>
  <c r="V185" i="120" s="1"/>
  <c r="O91" i="120"/>
  <c r="O122" i="122"/>
  <c r="G91" i="120"/>
  <c r="G122" i="122"/>
  <c r="S122" i="122"/>
  <c r="S91" i="120"/>
  <c r="W47" i="1" l="1"/>
  <c r="AA42" i="1" s="1"/>
  <c r="V47" i="1"/>
  <c r="Z44" i="1" s="1"/>
  <c r="U47" i="1"/>
  <c r="Y46" i="1" s="1"/>
  <c r="T47" i="1"/>
  <c r="X41" i="1" s="1"/>
  <c r="I47" i="1"/>
  <c r="M24" i="1" s="1"/>
  <c r="J47" i="1"/>
  <c r="N22" i="1" s="1"/>
  <c r="K47" i="1"/>
  <c r="O27" i="1" s="1"/>
  <c r="H47" i="1"/>
  <c r="L39" i="1" s="1"/>
  <c r="X94" i="5"/>
  <c r="X95" i="5" s="1"/>
  <c r="Y94" i="5"/>
  <c r="Y95" i="5" s="1"/>
  <c r="Y96" i="5" s="1"/>
  <c r="Z94" i="5"/>
  <c r="Z95" i="5" s="1"/>
  <c r="Z96" i="5" s="1"/>
  <c r="AA94" i="5"/>
  <c r="AA95" i="5" s="1"/>
  <c r="AB94" i="5"/>
  <c r="AB95" i="5" s="1"/>
  <c r="AB97" i="5" s="1"/>
  <c r="X103" i="5"/>
  <c r="Y103" i="5"/>
  <c r="Y104" i="5" s="1"/>
  <c r="Y105" i="5" s="1"/>
  <c r="Z103" i="5"/>
  <c r="Z104" i="5" s="1"/>
  <c r="AA103" i="5"/>
  <c r="AA104" i="5" s="1"/>
  <c r="AB103" i="5"/>
  <c r="AB104" i="5" s="1"/>
  <c r="AB106" i="5" s="1"/>
  <c r="X104" i="5"/>
  <c r="X105" i="5" s="1"/>
  <c r="V94" i="5"/>
  <c r="V95" i="5" s="1"/>
  <c r="V96" i="5" s="1"/>
  <c r="W94" i="5"/>
  <c r="W95" i="5" s="1"/>
  <c r="W97" i="5" s="1"/>
  <c r="V103" i="5"/>
  <c r="V104" i="5" s="1"/>
  <c r="V105" i="5" s="1"/>
  <c r="W103" i="5"/>
  <c r="W104" i="5" s="1"/>
  <c r="W106" i="5" s="1"/>
  <c r="W105" i="5" l="1"/>
  <c r="V106" i="5"/>
  <c r="Z26" i="1"/>
  <c r="AA28" i="1"/>
  <c r="Y32" i="1"/>
  <c r="Y43" i="1"/>
  <c r="Y22" i="1"/>
  <c r="Y26" i="1"/>
  <c r="Z32" i="1"/>
  <c r="AA36" i="1"/>
  <c r="Z22" i="1"/>
  <c r="AA22" i="1"/>
  <c r="X28" i="1"/>
  <c r="Y28" i="1"/>
  <c r="Y37" i="1"/>
  <c r="Z37" i="1"/>
  <c r="Z23" i="1"/>
  <c r="AA29" i="1"/>
  <c r="Y39" i="1"/>
  <c r="Y24" i="1"/>
  <c r="X30" i="1"/>
  <c r="Z40" i="1"/>
  <c r="AA25" i="1"/>
  <c r="Y30" i="1"/>
  <c r="Y41" i="1"/>
  <c r="AA32" i="1"/>
  <c r="AA33" i="1"/>
  <c r="AA40" i="1"/>
  <c r="Z20" i="1"/>
  <c r="AA26" i="1"/>
  <c r="AA37" i="1"/>
  <c r="AA20" i="1"/>
  <c r="Z27" i="1"/>
  <c r="Z30" i="1"/>
  <c r="AA34" i="1"/>
  <c r="Z38" i="1"/>
  <c r="Z41" i="1"/>
  <c r="Z46" i="1"/>
  <c r="AA44" i="1"/>
  <c r="Z45" i="1"/>
  <c r="AA23" i="1"/>
  <c r="Z34" i="1"/>
  <c r="AA45" i="1"/>
  <c r="Z21" i="1"/>
  <c r="Z24" i="1"/>
  <c r="AA30" i="1"/>
  <c r="Z35" i="1"/>
  <c r="AA38" i="1"/>
  <c r="AA41" i="1"/>
  <c r="AA46" i="1"/>
  <c r="AA21" i="1"/>
  <c r="AA24" i="1"/>
  <c r="AA31" i="1"/>
  <c r="AA35" i="1"/>
  <c r="Z25" i="1"/>
  <c r="Z28" i="1"/>
  <c r="Z36" i="1"/>
  <c r="Z39" i="1"/>
  <c r="Z43" i="1"/>
  <c r="AA39" i="1"/>
  <c r="AA43" i="1"/>
  <c r="L33" i="1"/>
  <c r="L31" i="1"/>
  <c r="L30" i="1"/>
  <c r="L26" i="1"/>
  <c r="L46" i="1"/>
  <c r="L25" i="1"/>
  <c r="L42" i="1"/>
  <c r="L23" i="1"/>
  <c r="L41" i="1"/>
  <c r="O31" i="1"/>
  <c r="O23" i="1"/>
  <c r="L27" i="1"/>
  <c r="L20" i="1"/>
  <c r="L38" i="1"/>
  <c r="L22" i="1"/>
  <c r="L34" i="1"/>
  <c r="O39" i="1"/>
  <c r="N42" i="1"/>
  <c r="N31" i="1"/>
  <c r="N43" i="1"/>
  <c r="N27" i="1"/>
  <c r="N26" i="1"/>
  <c r="N39" i="1"/>
  <c r="N23" i="1"/>
  <c r="N35" i="1"/>
  <c r="N34" i="1"/>
  <c r="M33" i="1"/>
  <c r="M46" i="1"/>
  <c r="M28" i="1"/>
  <c r="M23" i="1"/>
  <c r="M45" i="1"/>
  <c r="M34" i="1"/>
  <c r="M22" i="1"/>
  <c r="M44" i="1"/>
  <c r="M27" i="1"/>
  <c r="M43" i="1"/>
  <c r="M36" i="1"/>
  <c r="M31" i="1"/>
  <c r="M25" i="1"/>
  <c r="M39" i="1"/>
  <c r="M20" i="1"/>
  <c r="M26" i="1"/>
  <c r="M42" i="1"/>
  <c r="M30" i="1"/>
  <c r="M21" i="1"/>
  <c r="M38" i="1"/>
  <c r="M37" i="1"/>
  <c r="M41" i="1"/>
  <c r="M35" i="1"/>
  <c r="M29" i="1"/>
  <c r="X32" i="1"/>
  <c r="X43" i="1"/>
  <c r="X96" i="5"/>
  <c r="X97" i="5"/>
  <c r="X21" i="1"/>
  <c r="Y21" i="1"/>
  <c r="Y23" i="1"/>
  <c r="Y25" i="1"/>
  <c r="X27" i="1"/>
  <c r="Y38" i="1"/>
  <c r="Y40" i="1"/>
  <c r="X42" i="1"/>
  <c r="X45" i="1"/>
  <c r="Y27" i="1"/>
  <c r="X29" i="1"/>
  <c r="X31" i="1"/>
  <c r="X33" i="1"/>
  <c r="Y42" i="1"/>
  <c r="X44" i="1"/>
  <c r="X23" i="1"/>
  <c r="Y45" i="1"/>
  <c r="X20" i="1"/>
  <c r="Y29" i="1"/>
  <c r="Y31" i="1"/>
  <c r="Y33" i="1"/>
  <c r="X35" i="1"/>
  <c r="Z42" i="1"/>
  <c r="Y44" i="1"/>
  <c r="X46" i="1"/>
  <c r="X34" i="1"/>
  <c r="X36" i="1"/>
  <c r="X25" i="1"/>
  <c r="Y34" i="1"/>
  <c r="Y36" i="1"/>
  <c r="X38" i="1"/>
  <c r="X40" i="1"/>
  <c r="Y20" i="1"/>
  <c r="X22" i="1"/>
  <c r="X24" i="1"/>
  <c r="X26" i="1"/>
  <c r="AA27" i="1"/>
  <c r="Z29" i="1"/>
  <c r="Z31" i="1"/>
  <c r="Z33" i="1"/>
  <c r="Y35" i="1"/>
  <c r="X37" i="1"/>
  <c r="X39" i="1"/>
  <c r="O40" i="1"/>
  <c r="O32" i="1"/>
  <c r="O24" i="1"/>
  <c r="O45" i="1"/>
  <c r="N40" i="1"/>
  <c r="O37" i="1"/>
  <c r="N32" i="1"/>
  <c r="O29" i="1"/>
  <c r="N24" i="1"/>
  <c r="O21" i="1"/>
  <c r="L40" i="1"/>
  <c r="L32" i="1"/>
  <c r="L24" i="1"/>
  <c r="N45" i="1"/>
  <c r="O42" i="1"/>
  <c r="M40" i="1"/>
  <c r="N37" i="1"/>
  <c r="O34" i="1"/>
  <c r="M32" i="1"/>
  <c r="N29" i="1"/>
  <c r="O26" i="1"/>
  <c r="N21" i="1"/>
  <c r="O44" i="1"/>
  <c r="O36" i="1"/>
  <c r="O28" i="1"/>
  <c r="O20" i="1"/>
  <c r="L45" i="1"/>
  <c r="L37" i="1"/>
  <c r="L29" i="1"/>
  <c r="L21" i="1"/>
  <c r="N44" i="1"/>
  <c r="O41" i="1"/>
  <c r="N36" i="1"/>
  <c r="O33" i="1"/>
  <c r="N28" i="1"/>
  <c r="O25" i="1"/>
  <c r="N20" i="1"/>
  <c r="L44" i="1"/>
  <c r="L36" i="1"/>
  <c r="L28" i="1"/>
  <c r="O46" i="1"/>
  <c r="N41" i="1"/>
  <c r="O38" i="1"/>
  <c r="N33" i="1"/>
  <c r="O30" i="1"/>
  <c r="N25" i="1"/>
  <c r="O22" i="1"/>
  <c r="L43" i="1"/>
  <c r="L35" i="1"/>
  <c r="N46" i="1"/>
  <c r="O43" i="1"/>
  <c r="N38" i="1"/>
  <c r="O35" i="1"/>
  <c r="N30" i="1"/>
  <c r="W96" i="5"/>
  <c r="V97" i="5"/>
  <c r="AA106" i="5"/>
  <c r="AA105" i="5"/>
  <c r="Z105" i="5"/>
  <c r="Z106" i="5"/>
  <c r="AA96" i="5"/>
  <c r="AA97" i="5"/>
  <c r="Y106" i="5"/>
  <c r="X106" i="5"/>
  <c r="Z97" i="5"/>
  <c r="AB96" i="5"/>
  <c r="Y97" i="5"/>
  <c r="AB105" i="5"/>
  <c r="AB26" i="1" l="1"/>
  <c r="AC26" i="1" s="1"/>
  <c r="AB32" i="1"/>
  <c r="AC32" i="1" s="1"/>
  <c r="AB24" i="1"/>
  <c r="AD24" i="1" s="1"/>
  <c r="AB22" i="1"/>
  <c r="AD22" i="1" s="1"/>
  <c r="AB43" i="1"/>
  <c r="AC43" i="1" s="1"/>
  <c r="AB41" i="1"/>
  <c r="AC41" i="1" s="1"/>
  <c r="AB30" i="1"/>
  <c r="AC30" i="1" s="1"/>
  <c r="AB28" i="1"/>
  <c r="AC28" i="1" s="1"/>
  <c r="AB39" i="1"/>
  <c r="AD39" i="1" s="1"/>
  <c r="AA47" i="1"/>
  <c r="AB25" i="1"/>
  <c r="AC25" i="1" s="1"/>
  <c r="AB36" i="1"/>
  <c r="AC36" i="1" s="1"/>
  <c r="AB37" i="1"/>
  <c r="AD37" i="1" s="1"/>
  <c r="AB34" i="1"/>
  <c r="AC34" i="1" s="1"/>
  <c r="AB46" i="1"/>
  <c r="Z47" i="1"/>
  <c r="AB40" i="1"/>
  <c r="AD40" i="1" s="1"/>
  <c r="AB42" i="1"/>
  <c r="AC42" i="1" s="1"/>
  <c r="AB38" i="1"/>
  <c r="AD38" i="1" s="1"/>
  <c r="P31" i="1"/>
  <c r="Q31" i="1" s="1"/>
  <c r="P42" i="1"/>
  <c r="Q42" i="1" s="1"/>
  <c r="P33" i="1"/>
  <c r="Q33" i="1" s="1"/>
  <c r="P20" i="1"/>
  <c r="Q20" i="1" s="1"/>
  <c r="P22" i="1"/>
  <c r="Q22" i="1" s="1"/>
  <c r="P35" i="1"/>
  <c r="Q35" i="1" s="1"/>
  <c r="P41" i="1"/>
  <c r="Q41" i="1" s="1"/>
  <c r="L47" i="1"/>
  <c r="P38" i="1"/>
  <c r="Q38" i="1" s="1"/>
  <c r="P34" i="1"/>
  <c r="Q34" i="1" s="1"/>
  <c r="P23" i="1"/>
  <c r="Q23" i="1" s="1"/>
  <c r="P27" i="1"/>
  <c r="Q27" i="1" s="1"/>
  <c r="P43" i="1"/>
  <c r="Q43" i="1" s="1"/>
  <c r="P26" i="1"/>
  <c r="Q26" i="1" s="1"/>
  <c r="P39" i="1"/>
  <c r="R39" i="1" s="1"/>
  <c r="M47" i="1"/>
  <c r="P30" i="1"/>
  <c r="Q30" i="1" s="1"/>
  <c r="P25" i="1"/>
  <c r="Q25" i="1" s="1"/>
  <c r="P21" i="1"/>
  <c r="AD46" i="1"/>
  <c r="AC46" i="1"/>
  <c r="AD26" i="1"/>
  <c r="AB29" i="1"/>
  <c r="AB20" i="1"/>
  <c r="X47" i="1"/>
  <c r="Y47" i="1"/>
  <c r="AB45" i="1"/>
  <c r="AB21" i="1"/>
  <c r="AB23" i="1"/>
  <c r="AB44" i="1"/>
  <c r="AB35" i="1"/>
  <c r="AB33" i="1"/>
  <c r="AB27" i="1"/>
  <c r="AB31" i="1"/>
  <c r="P28" i="1"/>
  <c r="P36" i="1"/>
  <c r="P44" i="1"/>
  <c r="N47" i="1"/>
  <c r="P29" i="1"/>
  <c r="P24" i="1"/>
  <c r="P37" i="1"/>
  <c r="P32" i="1"/>
  <c r="P45" i="1"/>
  <c r="P40" i="1"/>
  <c r="P46" i="1"/>
  <c r="O47" i="1"/>
  <c r="AC24" i="1" l="1"/>
  <c r="AD43" i="1"/>
  <c r="AC39" i="1"/>
  <c r="AD32" i="1"/>
  <c r="AD28" i="1"/>
  <c r="AD30" i="1"/>
  <c r="AC40" i="1"/>
  <c r="AD41" i="1"/>
  <c r="AC22" i="1"/>
  <c r="AC37" i="1"/>
  <c r="AD34" i="1"/>
  <c r="AD25" i="1"/>
  <c r="AC38" i="1"/>
  <c r="AD36" i="1"/>
  <c r="AD42" i="1"/>
  <c r="R31" i="1"/>
  <c r="R34" i="1"/>
  <c r="R42" i="1"/>
  <c r="R20" i="1"/>
  <c r="R35" i="1"/>
  <c r="R22" i="1"/>
  <c r="R27" i="1"/>
  <c r="R33" i="1"/>
  <c r="R38" i="1"/>
  <c r="R41" i="1"/>
  <c r="R26" i="1"/>
  <c r="R23" i="1"/>
  <c r="R43" i="1"/>
  <c r="R25" i="1"/>
  <c r="Q39" i="1"/>
  <c r="R21" i="1"/>
  <c r="Q21" i="1"/>
  <c r="R30" i="1"/>
  <c r="AC33" i="1"/>
  <c r="AD33" i="1"/>
  <c r="AD20" i="1"/>
  <c r="AC20" i="1"/>
  <c r="AC35" i="1"/>
  <c r="AD35" i="1"/>
  <c r="AC29" i="1"/>
  <c r="AD29" i="1"/>
  <c r="AC21" i="1"/>
  <c r="AD21" i="1"/>
  <c r="AC27" i="1"/>
  <c r="AD27" i="1"/>
  <c r="AC45" i="1"/>
  <c r="AD45" i="1"/>
  <c r="AD44" i="1"/>
  <c r="AC44" i="1"/>
  <c r="AC23" i="1"/>
  <c r="AD23" i="1"/>
  <c r="AC31" i="1"/>
  <c r="AD31" i="1"/>
  <c r="Q40" i="1"/>
  <c r="R40" i="1"/>
  <c r="R45" i="1"/>
  <c r="Q45" i="1"/>
  <c r="Q44" i="1"/>
  <c r="R44" i="1"/>
  <c r="Q32" i="1"/>
  <c r="R32" i="1"/>
  <c r="Q37" i="1"/>
  <c r="R37" i="1"/>
  <c r="Q24" i="1"/>
  <c r="R24" i="1"/>
  <c r="Q36" i="1"/>
  <c r="R36" i="1"/>
  <c r="Q46" i="1"/>
  <c r="R46" i="1"/>
  <c r="Q29" i="1"/>
  <c r="R29" i="1"/>
  <c r="Q28" i="1"/>
  <c r="R28" i="1"/>
  <c r="AD47" i="1" l="1"/>
  <c r="Q47" i="1"/>
  <c r="R47" i="1"/>
  <c r="AC47" i="1"/>
  <c r="AG47" i="1" l="1"/>
  <c r="AF47" i="1"/>
  <c r="D42" i="120" l="1"/>
  <c r="D30" i="122"/>
  <c r="C30" i="122"/>
  <c r="C42" i="120"/>
  <c r="D99" i="120" l="1"/>
  <c r="AB155" i="120"/>
  <c r="T99" i="120"/>
  <c r="N127" i="120"/>
  <c r="N155" i="120"/>
  <c r="AA183" i="120"/>
  <c r="K183" i="120"/>
  <c r="T183" i="120"/>
  <c r="D183" i="120"/>
  <c r="Q99" i="120"/>
  <c r="I127" i="120"/>
  <c r="Y127" i="120"/>
  <c r="Q155" i="120"/>
  <c r="X99" i="120"/>
  <c r="W183" i="120"/>
  <c r="P183" i="120"/>
  <c r="E99" i="120"/>
  <c r="M127" i="120"/>
  <c r="J99" i="120"/>
  <c r="D127" i="120"/>
  <c r="U183" i="120"/>
  <c r="O127" i="120"/>
  <c r="G155" i="120"/>
  <c r="F99" i="120"/>
  <c r="V99" i="120"/>
  <c r="P127" i="120"/>
  <c r="P155" i="120"/>
  <c r="Y183" i="120"/>
  <c r="I183" i="120"/>
  <c r="R183" i="120"/>
  <c r="S99" i="120"/>
  <c r="K127" i="120"/>
  <c r="AA127" i="120"/>
  <c r="S155" i="120"/>
  <c r="H99" i="120"/>
  <c r="R127" i="120"/>
  <c r="R155" i="120"/>
  <c r="G183" i="120"/>
  <c r="U99" i="120"/>
  <c r="AC127" i="120"/>
  <c r="E155" i="120"/>
  <c r="Z99" i="120"/>
  <c r="T127" i="120"/>
  <c r="D155" i="120"/>
  <c r="T155" i="120"/>
  <c r="E183" i="120"/>
  <c r="W99" i="120"/>
  <c r="W155" i="120"/>
  <c r="U155" i="120"/>
  <c r="N183" i="120"/>
  <c r="G99" i="120"/>
  <c r="N99" i="120"/>
  <c r="H127" i="120"/>
  <c r="X127" i="120"/>
  <c r="H155" i="120"/>
  <c r="X155" i="120"/>
  <c r="Q183" i="120"/>
  <c r="Z183" i="120"/>
  <c r="J183" i="120"/>
  <c r="K99" i="120"/>
  <c r="AA99" i="120"/>
  <c r="S127" i="120"/>
  <c r="K155" i="120"/>
  <c r="AA155" i="120"/>
  <c r="P99" i="120"/>
  <c r="AB127" i="120"/>
  <c r="J155" i="120"/>
  <c r="AB183" i="120"/>
  <c r="M99" i="120"/>
  <c r="AC155" i="120"/>
  <c r="R99" i="120"/>
  <c r="L155" i="120"/>
  <c r="X183" i="120"/>
  <c r="O99" i="120"/>
  <c r="E127" i="120"/>
  <c r="AB99" i="120"/>
  <c r="V155" i="120"/>
  <c r="V183" i="120"/>
  <c r="Y99" i="120"/>
  <c r="G127" i="120"/>
  <c r="F127" i="120"/>
  <c r="Z155" i="120"/>
  <c r="L183" i="120"/>
  <c r="AC99" i="120"/>
  <c r="Q127" i="120"/>
  <c r="J127" i="120"/>
  <c r="AC183" i="120"/>
  <c r="H183" i="120"/>
  <c r="U127" i="120"/>
  <c r="L127" i="120"/>
  <c r="S183" i="120"/>
  <c r="W127" i="120"/>
  <c r="V127" i="120"/>
  <c r="O155" i="120"/>
  <c r="Z127" i="120"/>
  <c r="M183" i="120"/>
  <c r="I99" i="120"/>
  <c r="I155" i="120"/>
  <c r="F183" i="120"/>
  <c r="M155" i="120"/>
  <c r="O183" i="120"/>
  <c r="L99" i="120"/>
  <c r="F155" i="120"/>
  <c r="Y155" i="120"/>
  <c r="Q182" i="120"/>
  <c r="Z182" i="120"/>
  <c r="J182" i="120"/>
  <c r="L98" i="120"/>
  <c r="AB98" i="120"/>
  <c r="H126" i="120"/>
  <c r="X126" i="120"/>
  <c r="H154" i="120"/>
  <c r="X154" i="120"/>
  <c r="K98" i="120"/>
  <c r="AA98" i="120"/>
  <c r="S126" i="120"/>
  <c r="K154" i="120"/>
  <c r="AA154" i="120"/>
  <c r="AC182" i="120"/>
  <c r="M182" i="120"/>
  <c r="F182" i="120"/>
  <c r="P98" i="120"/>
  <c r="AB126" i="120"/>
  <c r="AB154" i="120"/>
  <c r="O98" i="120"/>
  <c r="G126" i="120"/>
  <c r="O154" i="120"/>
  <c r="AA182" i="120"/>
  <c r="T182" i="120"/>
  <c r="Q98" i="120"/>
  <c r="I126" i="120"/>
  <c r="O182" i="120"/>
  <c r="X182" i="120"/>
  <c r="H182" i="120"/>
  <c r="N98" i="120"/>
  <c r="J126" i="120"/>
  <c r="Z126" i="120"/>
  <c r="J154" i="120"/>
  <c r="Z154" i="120"/>
  <c r="M98" i="120"/>
  <c r="AC98" i="120"/>
  <c r="E126" i="120"/>
  <c r="U126" i="120"/>
  <c r="M154" i="120"/>
  <c r="AC154" i="120"/>
  <c r="V182" i="120"/>
  <c r="L126" i="120"/>
  <c r="L154" i="120"/>
  <c r="W126" i="120"/>
  <c r="K182" i="120"/>
  <c r="R98" i="120"/>
  <c r="N126" i="120"/>
  <c r="Y126" i="120"/>
  <c r="Q154" i="120"/>
  <c r="D182" i="120"/>
  <c r="N154" i="120"/>
  <c r="W182" i="120"/>
  <c r="G182" i="120"/>
  <c r="P182" i="120"/>
  <c r="F98" i="120"/>
  <c r="V98" i="120"/>
  <c r="R126" i="120"/>
  <c r="R154" i="120"/>
  <c r="E98" i="120"/>
  <c r="U98" i="120"/>
  <c r="M126" i="120"/>
  <c r="AC126" i="120"/>
  <c r="E154" i="120"/>
  <c r="U154" i="120"/>
  <c r="Y182" i="120"/>
  <c r="L182" i="120"/>
  <c r="P126" i="120"/>
  <c r="AA126" i="120"/>
  <c r="I154" i="120"/>
  <c r="U182" i="120"/>
  <c r="D98" i="120"/>
  <c r="T126" i="120"/>
  <c r="S154" i="120"/>
  <c r="S182" i="120"/>
  <c r="H98" i="120"/>
  <c r="V126" i="120"/>
  <c r="D154" i="120"/>
  <c r="G98" i="120"/>
  <c r="W154" i="120"/>
  <c r="I182" i="120"/>
  <c r="J98" i="120"/>
  <c r="F154" i="120"/>
  <c r="I98" i="120"/>
  <c r="Y154" i="120"/>
  <c r="E182" i="120"/>
  <c r="T98" i="120"/>
  <c r="P154" i="120"/>
  <c r="S98" i="120"/>
  <c r="AB182" i="120"/>
  <c r="T154" i="120"/>
  <c r="W98" i="120"/>
  <c r="R182" i="120"/>
  <c r="Z98" i="120"/>
  <c r="V154" i="120"/>
  <c r="O126" i="120"/>
  <c r="N182" i="120"/>
  <c r="F126" i="120"/>
  <c r="G154" i="120"/>
  <c r="X98" i="120"/>
  <c r="K126" i="120"/>
  <c r="D126" i="120"/>
  <c r="Y98" i="120"/>
  <c r="Q126" i="120"/>
  <c r="G63" i="122"/>
  <c r="W63" i="122"/>
  <c r="M64" i="122"/>
  <c r="AC64" i="122"/>
  <c r="S65" i="122"/>
  <c r="I66" i="122"/>
  <c r="J63" i="122"/>
  <c r="Z63" i="122"/>
  <c r="P64" i="122"/>
  <c r="F65" i="122"/>
  <c r="V65" i="122"/>
  <c r="L66" i="122"/>
  <c r="AC66" i="122"/>
  <c r="M63" i="122"/>
  <c r="AC63" i="122"/>
  <c r="S64" i="122"/>
  <c r="I65" i="122"/>
  <c r="Y65" i="122"/>
  <c r="O66" i="122"/>
  <c r="P63" i="122"/>
  <c r="F64" i="122"/>
  <c r="V64" i="122"/>
  <c r="L65" i="122"/>
  <c r="AB65" i="122"/>
  <c r="S66" i="122"/>
  <c r="V66" i="122"/>
  <c r="S63" i="122"/>
  <c r="I64" i="122"/>
  <c r="Y64" i="122"/>
  <c r="O65" i="122"/>
  <c r="E66" i="122"/>
  <c r="F63" i="122"/>
  <c r="V63" i="122"/>
  <c r="L64" i="122"/>
  <c r="AB64" i="122"/>
  <c r="R65" i="122"/>
  <c r="H66" i="122"/>
  <c r="Y66" i="122"/>
  <c r="AB66" i="122"/>
  <c r="E63" i="122"/>
  <c r="U63" i="122"/>
  <c r="K64" i="122"/>
  <c r="AA64" i="122"/>
  <c r="Q65" i="122"/>
  <c r="G66" i="122"/>
  <c r="H63" i="122"/>
  <c r="X63" i="122"/>
  <c r="N64" i="122"/>
  <c r="D65" i="122"/>
  <c r="T65" i="122"/>
  <c r="J66" i="122"/>
  <c r="AA66" i="122"/>
  <c r="Q63" i="122"/>
  <c r="G64" i="122"/>
  <c r="W64" i="122"/>
  <c r="M65" i="122"/>
  <c r="AC65" i="122"/>
  <c r="D63" i="122"/>
  <c r="T63" i="122"/>
  <c r="J64" i="122"/>
  <c r="Z64" i="122"/>
  <c r="P65" i="122"/>
  <c r="F66" i="122"/>
  <c r="W66" i="122"/>
  <c r="Z66" i="122"/>
  <c r="K63" i="122"/>
  <c r="AA63" i="122"/>
  <c r="Q64" i="122"/>
  <c r="G65" i="122"/>
  <c r="W65" i="122"/>
  <c r="M66" i="122"/>
  <c r="N63" i="122"/>
  <c r="D64" i="122"/>
  <c r="T64" i="122"/>
  <c r="J65" i="122"/>
  <c r="Z65" i="122"/>
  <c r="P66" i="122"/>
  <c r="T66" i="122"/>
  <c r="O63" i="122"/>
  <c r="E64" i="122"/>
  <c r="U64" i="122"/>
  <c r="K65" i="122"/>
  <c r="AA65" i="122"/>
  <c r="Q66" i="122"/>
  <c r="R63" i="122"/>
  <c r="H64" i="122"/>
  <c r="X64" i="122"/>
  <c r="N65" i="122"/>
  <c r="D66" i="122"/>
  <c r="U66" i="122"/>
  <c r="X66" i="122"/>
  <c r="L63" i="122"/>
  <c r="AB63" i="122"/>
  <c r="I63" i="122"/>
  <c r="R64" i="122"/>
  <c r="Y63" i="122"/>
  <c r="H65" i="122"/>
  <c r="O64" i="122"/>
  <c r="X65" i="122"/>
  <c r="E65" i="122"/>
  <c r="N66" i="122"/>
  <c r="U65" i="122"/>
  <c r="R66" i="122"/>
  <c r="K66" i="122"/>
  <c r="Q58" i="122"/>
  <c r="G59" i="122"/>
  <c r="W59" i="122"/>
  <c r="M60" i="122"/>
  <c r="AC60" i="122"/>
  <c r="D58" i="122"/>
  <c r="T58" i="122"/>
  <c r="J59" i="122"/>
  <c r="Z59" i="122"/>
  <c r="P60" i="122"/>
  <c r="F61" i="122"/>
  <c r="W61" i="122"/>
  <c r="Z61" i="122"/>
  <c r="G58" i="122"/>
  <c r="W58" i="122"/>
  <c r="M59" i="122"/>
  <c r="AC59" i="122"/>
  <c r="S60" i="122"/>
  <c r="I61" i="122"/>
  <c r="J58" i="122"/>
  <c r="Z58" i="122"/>
  <c r="P59" i="122"/>
  <c r="F60" i="122"/>
  <c r="V60" i="122"/>
  <c r="L61" i="122"/>
  <c r="AC61" i="122"/>
  <c r="M58" i="122"/>
  <c r="AC58" i="122"/>
  <c r="S59" i="122"/>
  <c r="I60" i="122"/>
  <c r="Y60" i="122"/>
  <c r="O61" i="122"/>
  <c r="P58" i="122"/>
  <c r="F59" i="122"/>
  <c r="V59" i="122"/>
  <c r="L60" i="122"/>
  <c r="AB60" i="122"/>
  <c r="S61" i="122"/>
  <c r="V61" i="122"/>
  <c r="O58" i="122"/>
  <c r="E59" i="122"/>
  <c r="U59" i="122"/>
  <c r="K60" i="122"/>
  <c r="AA60" i="122"/>
  <c r="Q61" i="122"/>
  <c r="R58" i="122"/>
  <c r="H59" i="122"/>
  <c r="X59" i="122"/>
  <c r="N60" i="122"/>
  <c r="D61" i="122"/>
  <c r="U61" i="122"/>
  <c r="X61" i="122"/>
  <c r="I58" i="122"/>
  <c r="Y58" i="122"/>
  <c r="O59" i="122"/>
  <c r="E60" i="122"/>
  <c r="U60" i="122"/>
  <c r="K61" i="122"/>
  <c r="L58" i="122"/>
  <c r="AB58" i="122"/>
  <c r="R59" i="122"/>
  <c r="H60" i="122"/>
  <c r="X60" i="122"/>
  <c r="N61" i="122"/>
  <c r="R61" i="122"/>
  <c r="S58" i="122"/>
  <c r="I59" i="122"/>
  <c r="Y59" i="122"/>
  <c r="O60" i="122"/>
  <c r="E61" i="122"/>
  <c r="F58" i="122"/>
  <c r="V58" i="122"/>
  <c r="L59" i="122"/>
  <c r="AB59" i="122"/>
  <c r="R60" i="122"/>
  <c r="H61" i="122"/>
  <c r="Y61" i="122"/>
  <c r="AB61" i="122"/>
  <c r="K58" i="122"/>
  <c r="W60" i="122"/>
  <c r="N58" i="122"/>
  <c r="Z60" i="122"/>
  <c r="T61" i="122"/>
  <c r="E58" i="122"/>
  <c r="K59" i="122"/>
  <c r="G61" i="122"/>
  <c r="X58" i="122"/>
  <c r="T60" i="122"/>
  <c r="AA61" i="122"/>
  <c r="AA58" i="122"/>
  <c r="Q59" i="122"/>
  <c r="G60" i="122"/>
  <c r="M61" i="122"/>
  <c r="D59" i="122"/>
  <c r="T59" i="122"/>
  <c r="J60" i="122"/>
  <c r="P61" i="122"/>
  <c r="U58" i="122"/>
  <c r="Q60" i="122"/>
  <c r="H58" i="122"/>
  <c r="N59" i="122"/>
  <c r="J61" i="122"/>
  <c r="AA59" i="122"/>
  <c r="D60" i="122"/>
  <c r="W192" i="120" l="1"/>
  <c r="W190" i="120"/>
  <c r="W188" i="120"/>
  <c r="W194" i="120"/>
  <c r="X192" i="120"/>
  <c r="X190" i="120"/>
  <c r="X194" i="120"/>
  <c r="X188" i="120"/>
  <c r="AB195" i="120"/>
  <c r="AB191" i="120"/>
  <c r="AB193" i="120"/>
  <c r="AB189" i="120"/>
  <c r="O170" i="120"/>
  <c r="M170" i="120"/>
  <c r="Q170" i="120"/>
  <c r="Y195" i="120"/>
  <c r="Y191" i="120"/>
  <c r="Y193" i="120"/>
  <c r="Y189" i="120"/>
  <c r="M142" i="120"/>
  <c r="Q142" i="120"/>
  <c r="O142" i="120"/>
  <c r="N198" i="120"/>
  <c r="L198" i="120"/>
  <c r="P198" i="120"/>
  <c r="Z189" i="120"/>
  <c r="Z195" i="120"/>
  <c r="Z193" i="120"/>
  <c r="Z191" i="120"/>
  <c r="E74" i="122"/>
  <c r="P74" i="122" s="1"/>
  <c r="D86" i="122"/>
  <c r="O86" i="122" s="1"/>
  <c r="F86" i="122"/>
  <c r="Q86" i="122" s="1"/>
  <c r="F74" i="122"/>
  <c r="Q74" i="122" s="1"/>
  <c r="G86" i="122"/>
  <c r="R86" i="122" s="1"/>
  <c r="D74" i="122"/>
  <c r="O74" i="122" s="1"/>
  <c r="E86" i="122"/>
  <c r="P86" i="122" s="1"/>
  <c r="G74" i="122"/>
  <c r="R74" i="122" s="1"/>
  <c r="AB194" i="120"/>
  <c r="AB190" i="120"/>
  <c r="AB188" i="120"/>
  <c r="AB192" i="120"/>
  <c r="E73" i="122"/>
  <c r="P73" i="122" s="1"/>
  <c r="D85" i="122"/>
  <c r="O85" i="122" s="1"/>
  <c r="F73" i="122"/>
  <c r="Q73" i="122" s="1"/>
  <c r="F85" i="122"/>
  <c r="Q85" i="122" s="1"/>
  <c r="G85" i="122"/>
  <c r="R85" i="122" s="1"/>
  <c r="D73" i="122"/>
  <c r="O73" i="122" s="1"/>
  <c r="E85" i="122"/>
  <c r="P85" i="122" s="1"/>
  <c r="G73" i="122"/>
  <c r="R73" i="122" s="1"/>
  <c r="N114" i="120"/>
  <c r="L114" i="120"/>
  <c r="P114" i="120"/>
  <c r="AA194" i="120"/>
  <c r="AA192" i="120"/>
  <c r="AA190" i="120"/>
  <c r="AA188" i="120"/>
  <c r="AC195" i="120"/>
  <c r="AC193" i="120"/>
  <c r="AC191" i="120"/>
  <c r="AC189" i="120"/>
  <c r="W193" i="120"/>
  <c r="W191" i="120"/>
  <c r="W195" i="120"/>
  <c r="W189" i="120"/>
  <c r="Y194" i="120"/>
  <c r="Y190" i="120"/>
  <c r="Y188" i="120"/>
  <c r="Y192" i="120"/>
  <c r="T194" i="120"/>
  <c r="T192" i="120"/>
  <c r="T190" i="120"/>
  <c r="T188" i="120"/>
  <c r="T195" i="120"/>
  <c r="T191" i="120"/>
  <c r="T189" i="120"/>
  <c r="T193" i="120"/>
  <c r="U192" i="120"/>
  <c r="U188" i="120"/>
  <c r="U190" i="120"/>
  <c r="U194" i="120"/>
  <c r="AC192" i="120"/>
  <c r="AC188" i="120"/>
  <c r="AC190" i="120"/>
  <c r="AC194" i="120"/>
  <c r="V193" i="120"/>
  <c r="V189" i="120"/>
  <c r="V195" i="120"/>
  <c r="V191" i="120"/>
  <c r="AA195" i="120"/>
  <c r="AA191" i="120"/>
  <c r="AA189" i="120"/>
  <c r="AA193" i="120"/>
  <c r="E76" i="122"/>
  <c r="P76" i="122" s="1"/>
  <c r="D88" i="122"/>
  <c r="O88" i="122" s="1"/>
  <c r="F88" i="122"/>
  <c r="Q88" i="122" s="1"/>
  <c r="F76" i="122"/>
  <c r="Q76" i="122" s="1"/>
  <c r="G88" i="122"/>
  <c r="R88" i="122" s="1"/>
  <c r="G76" i="122"/>
  <c r="R76" i="122" s="1"/>
  <c r="D76" i="122"/>
  <c r="O76" i="122" s="1"/>
  <c r="E88" i="122"/>
  <c r="P88" i="122" s="1"/>
  <c r="V192" i="120"/>
  <c r="V190" i="120"/>
  <c r="V188" i="120"/>
  <c r="V194" i="120"/>
  <c r="Z194" i="120"/>
  <c r="Z190" i="120"/>
  <c r="Z188" i="120"/>
  <c r="Z192" i="120"/>
  <c r="X193" i="120"/>
  <c r="X191" i="120"/>
  <c r="X189" i="120"/>
  <c r="X195" i="120"/>
  <c r="Q198" i="120"/>
  <c r="O198" i="120"/>
  <c r="M198" i="120"/>
  <c r="Q114" i="120"/>
  <c r="O114" i="120"/>
  <c r="M114" i="120"/>
  <c r="E79" i="122"/>
  <c r="P79" i="122" s="1"/>
  <c r="F91" i="122"/>
  <c r="Q91" i="122" s="1"/>
  <c r="F79" i="122"/>
  <c r="Q79" i="122" s="1"/>
  <c r="D91" i="122"/>
  <c r="O91" i="122" s="1"/>
  <c r="G91" i="122"/>
  <c r="R91" i="122" s="1"/>
  <c r="D79" i="122"/>
  <c r="O79" i="122" s="1"/>
  <c r="E91" i="122"/>
  <c r="P91" i="122" s="1"/>
  <c r="G79" i="122"/>
  <c r="R79" i="122" s="1"/>
  <c r="E77" i="122"/>
  <c r="P77" i="122" s="1"/>
  <c r="D89" i="122"/>
  <c r="O89" i="122" s="1"/>
  <c r="F77" i="122"/>
  <c r="Q77" i="122" s="1"/>
  <c r="F89" i="122"/>
  <c r="Q89" i="122" s="1"/>
  <c r="G89" i="122"/>
  <c r="R89" i="122" s="1"/>
  <c r="E89" i="122"/>
  <c r="P89" i="122" s="1"/>
  <c r="G77" i="122"/>
  <c r="R77" i="122" s="1"/>
  <c r="D77" i="122"/>
  <c r="O77" i="122" s="1"/>
  <c r="E78" i="122"/>
  <c r="P78" i="122" s="1"/>
  <c r="D90" i="122"/>
  <c r="O90" i="122" s="1"/>
  <c r="F78" i="122"/>
  <c r="Q78" i="122" s="1"/>
  <c r="F90" i="122"/>
  <c r="Q90" i="122" s="1"/>
  <c r="G90" i="122"/>
  <c r="R90" i="122" s="1"/>
  <c r="D78" i="122"/>
  <c r="O78" i="122" s="1"/>
  <c r="E90" i="122"/>
  <c r="P90" i="122" s="1"/>
  <c r="G78" i="122"/>
  <c r="R78" i="122" s="1"/>
  <c r="E72" i="122"/>
  <c r="P72" i="122" s="1"/>
  <c r="D84" i="122"/>
  <c r="O84" i="122" s="1"/>
  <c r="F72" i="122"/>
  <c r="Q72" i="122" s="1"/>
  <c r="F84" i="122"/>
  <c r="Q84" i="122" s="1"/>
  <c r="G84" i="122"/>
  <c r="R84" i="122" s="1"/>
  <c r="D72" i="122"/>
  <c r="O72" i="122" s="1"/>
  <c r="E84" i="122"/>
  <c r="P84" i="122" s="1"/>
  <c r="G72" i="122"/>
  <c r="R72" i="122" s="1"/>
  <c r="E71" i="122"/>
  <c r="P71" i="122" s="1"/>
  <c r="D83" i="122"/>
  <c r="O83" i="122" s="1"/>
  <c r="F71" i="122"/>
  <c r="Q71" i="122" s="1"/>
  <c r="F83" i="122"/>
  <c r="Q83" i="122" s="1"/>
  <c r="G83" i="122"/>
  <c r="R83" i="122" s="1"/>
  <c r="D71" i="122"/>
  <c r="O71" i="122" s="1"/>
  <c r="E83" i="122"/>
  <c r="P83" i="122" s="1"/>
  <c r="G71" i="122"/>
  <c r="R71" i="122" s="1"/>
  <c r="P142" i="120"/>
  <c r="N142" i="120"/>
  <c r="L142" i="120"/>
  <c r="P170" i="120"/>
  <c r="N170" i="120"/>
  <c r="L170" i="120"/>
  <c r="U195" i="120"/>
  <c r="U193" i="120"/>
  <c r="U191" i="120"/>
  <c r="U189" i="120"/>
  <c r="D103" i="5" l="1"/>
  <c r="E103" i="5"/>
  <c r="F103" i="5"/>
  <c r="G103" i="5"/>
  <c r="H103" i="5"/>
  <c r="I103" i="5"/>
  <c r="J103" i="5"/>
  <c r="K103" i="5"/>
  <c r="L103" i="5"/>
  <c r="M103" i="5"/>
  <c r="N103" i="5"/>
  <c r="O103" i="5"/>
  <c r="P103" i="5"/>
  <c r="Q103" i="5"/>
  <c r="R103" i="5"/>
  <c r="S103" i="5"/>
  <c r="T103" i="5"/>
  <c r="U103" i="5"/>
  <c r="C103" i="5"/>
  <c r="C104" i="5" s="1"/>
  <c r="D94" i="5"/>
  <c r="E94" i="5"/>
  <c r="F94" i="5"/>
  <c r="G94" i="5"/>
  <c r="H94" i="5"/>
  <c r="I94" i="5"/>
  <c r="J94" i="5"/>
  <c r="K94" i="5"/>
  <c r="L94" i="5"/>
  <c r="M94" i="5"/>
  <c r="N94" i="5"/>
  <c r="O94" i="5"/>
  <c r="P94" i="5"/>
  <c r="Q94" i="5"/>
  <c r="R94" i="5"/>
  <c r="S94" i="5"/>
  <c r="T94" i="5"/>
  <c r="U94" i="5"/>
  <c r="C94" i="5"/>
  <c r="E100" i="5"/>
  <c r="F100" i="5" s="1"/>
  <c r="G100" i="5" s="1"/>
  <c r="H100" i="5" s="1"/>
  <c r="E91" i="5"/>
  <c r="F91" i="5" s="1"/>
  <c r="G91" i="5" s="1"/>
  <c r="H91" i="5" s="1"/>
  <c r="C33" i="27"/>
  <c r="P50" i="120" l="1"/>
  <c r="G50" i="120"/>
  <c r="F50" i="120"/>
  <c r="E50" i="120"/>
  <c r="D50" i="120"/>
  <c r="L50" i="120"/>
  <c r="S50" i="120"/>
  <c r="K50" i="120"/>
  <c r="R50" i="120"/>
  <c r="J50" i="120"/>
  <c r="Q50" i="120"/>
  <c r="I50" i="120"/>
  <c r="H50" i="120"/>
  <c r="M50" i="120"/>
  <c r="O50" i="120"/>
  <c r="N50" i="120"/>
  <c r="C106" i="5"/>
  <c r="C105" i="5"/>
  <c r="D104" i="5"/>
  <c r="C95" i="5"/>
  <c r="D95" i="5"/>
  <c r="E95" i="5"/>
  <c r="E104" i="5"/>
  <c r="J185" i="120" l="1"/>
  <c r="J187" i="120"/>
  <c r="J186" i="120"/>
  <c r="J184" i="120"/>
  <c r="D186" i="120"/>
  <c r="D185" i="120"/>
  <c r="D184" i="120"/>
  <c r="D187" i="120"/>
  <c r="O187" i="120"/>
  <c r="O184" i="120"/>
  <c r="O186" i="120"/>
  <c r="O185" i="120"/>
  <c r="G187" i="120"/>
  <c r="G184" i="120"/>
  <c r="G186" i="120"/>
  <c r="G185" i="120"/>
  <c r="S185" i="120"/>
  <c r="S187" i="120"/>
  <c r="S186" i="120"/>
  <c r="S184" i="120"/>
  <c r="I186" i="120"/>
  <c r="I184" i="120"/>
  <c r="I187" i="120"/>
  <c r="I185" i="120"/>
  <c r="R185" i="120"/>
  <c r="R187" i="120"/>
  <c r="R184" i="120"/>
  <c r="R186" i="120"/>
  <c r="E184" i="120"/>
  <c r="E187" i="120"/>
  <c r="E186" i="120"/>
  <c r="E185" i="120"/>
  <c r="P186" i="120"/>
  <c r="P184" i="120"/>
  <c r="P187" i="120"/>
  <c r="P185" i="120"/>
  <c r="M184" i="120"/>
  <c r="M186" i="120"/>
  <c r="M185" i="120"/>
  <c r="M187" i="120"/>
  <c r="Q186" i="120"/>
  <c r="Q184" i="120"/>
  <c r="Q187" i="120"/>
  <c r="Q185" i="120"/>
  <c r="L186" i="120"/>
  <c r="L187" i="120"/>
  <c r="L185" i="120"/>
  <c r="L184" i="120"/>
  <c r="F187" i="120"/>
  <c r="F184" i="120"/>
  <c r="F186" i="120"/>
  <c r="F185" i="120"/>
  <c r="N187" i="120"/>
  <c r="N185" i="120"/>
  <c r="N184" i="120"/>
  <c r="N186" i="120"/>
  <c r="K185" i="120"/>
  <c r="K187" i="120"/>
  <c r="K186" i="120"/>
  <c r="K184" i="120"/>
  <c r="H186" i="120"/>
  <c r="H184" i="120"/>
  <c r="H187" i="120"/>
  <c r="H185" i="120"/>
  <c r="D97" i="5"/>
  <c r="D96" i="5"/>
  <c r="C96" i="5"/>
  <c r="C97" i="5"/>
  <c r="E105" i="5"/>
  <c r="E106" i="5"/>
  <c r="D106" i="5"/>
  <c r="D105" i="5"/>
  <c r="E97" i="5"/>
  <c r="E96" i="5"/>
  <c r="F95" i="5"/>
  <c r="F104" i="5"/>
  <c r="H195" i="120" l="1"/>
  <c r="H194" i="120"/>
  <c r="K189" i="120"/>
  <c r="K188" i="120"/>
  <c r="F192" i="120"/>
  <c r="F193" i="120"/>
  <c r="M195" i="120"/>
  <c r="M194" i="120"/>
  <c r="S188" i="120"/>
  <c r="S189" i="120"/>
  <c r="O188" i="120"/>
  <c r="O189" i="120"/>
  <c r="N189" i="120"/>
  <c r="N188" i="120"/>
  <c r="F189" i="120"/>
  <c r="F188" i="120"/>
  <c r="Q189" i="120"/>
  <c r="Q188" i="120"/>
  <c r="M190" i="120"/>
  <c r="M191" i="120"/>
  <c r="P188" i="120"/>
  <c r="P189" i="120"/>
  <c r="E191" i="120"/>
  <c r="E190" i="120"/>
  <c r="I194" i="120"/>
  <c r="I195" i="120"/>
  <c r="G189" i="120"/>
  <c r="G188" i="120"/>
  <c r="K195" i="120"/>
  <c r="K194" i="120"/>
  <c r="N193" i="120"/>
  <c r="N192" i="120"/>
  <c r="O190" i="120"/>
  <c r="O191" i="120"/>
  <c r="J189" i="120"/>
  <c r="J188" i="120"/>
  <c r="H191" i="120"/>
  <c r="H190" i="120"/>
  <c r="R192" i="120"/>
  <c r="R193" i="120"/>
  <c r="R188" i="120"/>
  <c r="R189" i="120"/>
  <c r="J201" i="120"/>
  <c r="I201" i="120"/>
  <c r="K201" i="120"/>
  <c r="D194" i="120"/>
  <c r="D195" i="120"/>
  <c r="P190" i="120"/>
  <c r="P191" i="120"/>
  <c r="F190" i="120"/>
  <c r="F191" i="120"/>
  <c r="L188" i="120"/>
  <c r="L189" i="120"/>
  <c r="E193" i="120"/>
  <c r="E192" i="120"/>
  <c r="S193" i="120"/>
  <c r="S192" i="120"/>
  <c r="O192" i="120"/>
  <c r="O193" i="120"/>
  <c r="K193" i="120"/>
  <c r="K192" i="120"/>
  <c r="N191" i="120"/>
  <c r="N190" i="120"/>
  <c r="L194" i="120"/>
  <c r="L195" i="120"/>
  <c r="R194" i="120"/>
  <c r="R195" i="120"/>
  <c r="S195" i="120"/>
  <c r="S194" i="120"/>
  <c r="G192" i="120"/>
  <c r="G193" i="120"/>
  <c r="K198" i="120"/>
  <c r="J198" i="120"/>
  <c r="I198" i="120"/>
  <c r="D188" i="120"/>
  <c r="D189" i="120"/>
  <c r="K199" i="120"/>
  <c r="J199" i="120"/>
  <c r="I199" i="120"/>
  <c r="D191" i="120"/>
  <c r="D190" i="120"/>
  <c r="J195" i="120"/>
  <c r="J194" i="120"/>
  <c r="Q191" i="120"/>
  <c r="Q190" i="120"/>
  <c r="M192" i="120"/>
  <c r="M193" i="120"/>
  <c r="I188" i="120"/>
  <c r="I189" i="120"/>
  <c r="H189" i="120"/>
  <c r="H188" i="120"/>
  <c r="Q195" i="120"/>
  <c r="Q194" i="120"/>
  <c r="P194" i="120"/>
  <c r="P195" i="120"/>
  <c r="I190" i="120"/>
  <c r="I191" i="120"/>
  <c r="G190" i="120"/>
  <c r="G191" i="120"/>
  <c r="H193" i="120"/>
  <c r="H192" i="120"/>
  <c r="K190" i="120"/>
  <c r="K191" i="120"/>
  <c r="N195" i="120"/>
  <c r="N194" i="120"/>
  <c r="F194" i="120"/>
  <c r="F195" i="120"/>
  <c r="L191" i="120"/>
  <c r="L190" i="120"/>
  <c r="L193" i="120"/>
  <c r="L192" i="120"/>
  <c r="Q193" i="120"/>
  <c r="Q192" i="120"/>
  <c r="M188" i="120"/>
  <c r="M189" i="120"/>
  <c r="P192" i="120"/>
  <c r="P193" i="120"/>
  <c r="E194" i="120"/>
  <c r="E195" i="120"/>
  <c r="E189" i="120"/>
  <c r="E188" i="120"/>
  <c r="R190" i="120"/>
  <c r="R191" i="120"/>
  <c r="I193" i="120"/>
  <c r="I192" i="120"/>
  <c r="S190" i="120"/>
  <c r="S191" i="120"/>
  <c r="G194" i="120"/>
  <c r="G195" i="120"/>
  <c r="O194" i="120"/>
  <c r="O195" i="120"/>
  <c r="I200" i="120"/>
  <c r="K200" i="120"/>
  <c r="J200" i="120"/>
  <c r="D192" i="120"/>
  <c r="D193" i="120"/>
  <c r="J192" i="120"/>
  <c r="J193" i="120"/>
  <c r="J190" i="120"/>
  <c r="J191" i="120"/>
  <c r="F97" i="5"/>
  <c r="F96" i="5"/>
  <c r="F106" i="5"/>
  <c r="F105" i="5"/>
  <c r="G104" i="5"/>
  <c r="G95" i="5"/>
  <c r="Y198" i="120" l="1"/>
  <c r="X198" i="120"/>
  <c r="F198" i="120"/>
  <c r="D198" i="120"/>
  <c r="G198" i="120"/>
  <c r="E198" i="120"/>
  <c r="G197" i="120"/>
  <c r="E197" i="120"/>
  <c r="F197" i="120"/>
  <c r="D197" i="120"/>
  <c r="E204" i="120"/>
  <c r="F204" i="120"/>
  <c r="G204" i="120"/>
  <c r="D204" i="120"/>
  <c r="U197" i="120"/>
  <c r="T197" i="120"/>
  <c r="G202" i="120"/>
  <c r="F202" i="120"/>
  <c r="E202" i="120"/>
  <c r="D202" i="120"/>
  <c r="E199" i="120"/>
  <c r="D199" i="120"/>
  <c r="F199" i="120"/>
  <c r="G199" i="120"/>
  <c r="D201" i="120"/>
  <c r="E201" i="120"/>
  <c r="G201" i="120"/>
  <c r="F201" i="120"/>
  <c r="G203" i="120"/>
  <c r="E203" i="120"/>
  <c r="F203" i="120"/>
  <c r="D203" i="120"/>
  <c r="W197" i="120"/>
  <c r="V197" i="120"/>
  <c r="D200" i="120"/>
  <c r="G200" i="120"/>
  <c r="E200" i="120"/>
  <c r="F200" i="120"/>
  <c r="U198" i="120"/>
  <c r="T198" i="120"/>
  <c r="V200" i="120"/>
  <c r="W200" i="120"/>
  <c r="T199" i="120"/>
  <c r="U199" i="120"/>
  <c r="Y200" i="120"/>
  <c r="X200" i="120"/>
  <c r="X197" i="120"/>
  <c r="Y197" i="120"/>
  <c r="U200" i="120"/>
  <c r="T200" i="120"/>
  <c r="V199" i="120"/>
  <c r="W199" i="120"/>
  <c r="Y199" i="120"/>
  <c r="X199" i="120"/>
  <c r="W198" i="120"/>
  <c r="V198" i="120"/>
  <c r="G97" i="5"/>
  <c r="G96" i="5"/>
  <c r="G106" i="5"/>
  <c r="G105" i="5"/>
  <c r="H104" i="5"/>
  <c r="H95" i="5"/>
  <c r="F53" i="80" l="1"/>
  <c r="M53" i="80"/>
  <c r="K56" i="80"/>
  <c r="D56" i="80"/>
  <c r="L55" i="80"/>
  <c r="E55" i="80"/>
  <c r="L57" i="80"/>
  <c r="E57" i="80"/>
  <c r="J51" i="80"/>
  <c r="C51" i="80"/>
  <c r="J53" i="80"/>
  <c r="C53" i="80"/>
  <c r="M56" i="80"/>
  <c r="F56" i="80"/>
  <c r="F55" i="80"/>
  <c r="M55" i="80"/>
  <c r="D57" i="80"/>
  <c r="K57" i="80"/>
  <c r="L51" i="80"/>
  <c r="E51" i="80"/>
  <c r="M52" i="80"/>
  <c r="F52" i="80"/>
  <c r="J50" i="80"/>
  <c r="C50" i="80"/>
  <c r="J52" i="80"/>
  <c r="C52" i="80"/>
  <c r="M54" i="80"/>
  <c r="F54" i="80"/>
  <c r="K52" i="80"/>
  <c r="D52" i="80"/>
  <c r="F50" i="80"/>
  <c r="M50" i="80"/>
  <c r="L52" i="80"/>
  <c r="E52" i="80"/>
  <c r="L50" i="80"/>
  <c r="E50" i="80"/>
  <c r="L54" i="80"/>
  <c r="E54" i="80"/>
  <c r="L53" i="80"/>
  <c r="E53" i="80"/>
  <c r="J56" i="80"/>
  <c r="C56" i="80"/>
  <c r="K54" i="80"/>
  <c r="D54" i="80"/>
  <c r="J55" i="80"/>
  <c r="C55" i="80"/>
  <c r="J57" i="80"/>
  <c r="C57" i="80"/>
  <c r="D51" i="80"/>
  <c r="K51" i="80"/>
  <c r="D50" i="80"/>
  <c r="K50" i="80"/>
  <c r="D53" i="80"/>
  <c r="K53" i="80"/>
  <c r="L56" i="80"/>
  <c r="E56" i="80"/>
  <c r="J54" i="80"/>
  <c r="C54" i="80"/>
  <c r="K55" i="80"/>
  <c r="D55" i="80"/>
  <c r="M57" i="80"/>
  <c r="F57" i="80"/>
  <c r="M51" i="80"/>
  <c r="F51" i="80"/>
  <c r="H97" i="5"/>
  <c r="H96" i="5"/>
  <c r="H106" i="5"/>
  <c r="H105" i="5"/>
  <c r="I95" i="5"/>
  <c r="I104" i="5"/>
  <c r="I105" i="5" l="1"/>
  <c r="I106" i="5"/>
  <c r="I97" i="5"/>
  <c r="I96" i="5"/>
  <c r="J95" i="5"/>
  <c r="J104" i="5"/>
  <c r="J97" i="5" l="1"/>
  <c r="J96" i="5"/>
  <c r="J106" i="5"/>
  <c r="J105" i="5"/>
  <c r="K95" i="5"/>
  <c r="K104" i="5"/>
  <c r="K97" i="5" l="1"/>
  <c r="K96" i="5"/>
  <c r="K106" i="5"/>
  <c r="K105" i="5"/>
  <c r="L104" i="5"/>
  <c r="L95" i="5"/>
  <c r="L106" i="5" l="1"/>
  <c r="L105" i="5"/>
  <c r="L97" i="5"/>
  <c r="L96" i="5"/>
  <c r="M95" i="5"/>
  <c r="M104" i="5"/>
  <c r="M105" i="5" l="1"/>
  <c r="M106" i="5"/>
  <c r="M97" i="5"/>
  <c r="M96" i="5"/>
  <c r="N95" i="5"/>
  <c r="N104" i="5"/>
  <c r="N96" i="5" l="1"/>
  <c r="N97" i="5"/>
  <c r="N106" i="5"/>
  <c r="N105" i="5"/>
  <c r="O104" i="5"/>
  <c r="O95" i="5"/>
  <c r="O96" i="5" l="1"/>
  <c r="O97" i="5"/>
  <c r="O106" i="5"/>
  <c r="O105" i="5"/>
  <c r="P104" i="5"/>
  <c r="P95" i="5"/>
  <c r="P97" i="5" l="1"/>
  <c r="P96" i="5"/>
  <c r="P106" i="5"/>
  <c r="P105" i="5"/>
  <c r="Q104" i="5"/>
  <c r="Q95" i="5"/>
  <c r="Q105" i="5" l="1"/>
  <c r="Q106" i="5"/>
  <c r="Q97" i="5"/>
  <c r="Q96" i="5"/>
  <c r="R95" i="5"/>
  <c r="R104" i="5"/>
  <c r="R106" i="5" l="1"/>
  <c r="R105" i="5"/>
  <c r="R97" i="5"/>
  <c r="R96" i="5"/>
  <c r="S104" i="5"/>
  <c r="S95" i="5"/>
  <c r="S96" i="5" l="1"/>
  <c r="S97" i="5"/>
  <c r="S106" i="5"/>
  <c r="S105" i="5"/>
  <c r="U104" i="5"/>
  <c r="T104" i="5"/>
  <c r="U95" i="5"/>
  <c r="T95" i="5"/>
  <c r="T97" i="5" l="1"/>
  <c r="T96" i="5"/>
  <c r="U96" i="5"/>
  <c r="U97" i="5"/>
  <c r="T106" i="5"/>
  <c r="T105" i="5"/>
  <c r="U105" i="5"/>
  <c r="U106" i="5"/>
  <c r="D63" i="5"/>
  <c r="D62" i="5"/>
  <c r="D61" i="5"/>
  <c r="D54" i="5"/>
  <c r="D53" i="5"/>
  <c r="D52" i="5"/>
  <c r="D43" i="5" l="1"/>
  <c r="D35" i="5"/>
  <c r="D34" i="5"/>
  <c r="D25" i="5"/>
  <c r="D17" i="5" l="1"/>
  <c r="C84" i="5" l="1"/>
  <c r="C86" i="5" s="1"/>
  <c r="D83" i="5"/>
  <c r="D81" i="5"/>
  <c r="D80" i="5"/>
  <c r="E79" i="5"/>
  <c r="F79" i="5" s="1"/>
  <c r="G79" i="5" s="1"/>
  <c r="H79" i="5" s="1"/>
  <c r="C74" i="5"/>
  <c r="C76" i="5" s="1"/>
  <c r="D73" i="5"/>
  <c r="D71" i="5"/>
  <c r="D70" i="5"/>
  <c r="E69" i="5"/>
  <c r="F69" i="5" s="1"/>
  <c r="G69" i="5" s="1"/>
  <c r="H69" i="5" s="1"/>
  <c r="C64" i="5"/>
  <c r="E60" i="5"/>
  <c r="C55" i="5"/>
  <c r="E51" i="5"/>
  <c r="C44" i="5"/>
  <c r="D82" i="5"/>
  <c r="D44" i="5"/>
  <c r="E41" i="5"/>
  <c r="C36" i="5"/>
  <c r="D72" i="5"/>
  <c r="E33" i="5"/>
  <c r="C26" i="5"/>
  <c r="D26" i="5"/>
  <c r="E23" i="5"/>
  <c r="C18" i="5"/>
  <c r="E15" i="5"/>
  <c r="D27" i="5" l="1"/>
  <c r="D28" i="5"/>
  <c r="C46" i="5"/>
  <c r="C45" i="5"/>
  <c r="C28" i="5"/>
  <c r="C27" i="5"/>
  <c r="C37" i="5"/>
  <c r="C38" i="5"/>
  <c r="C66" i="5"/>
  <c r="C65" i="5"/>
  <c r="C19" i="5"/>
  <c r="C20" i="5"/>
  <c r="D46" i="5"/>
  <c r="D45" i="5"/>
  <c r="C56" i="5"/>
  <c r="C57" i="5"/>
  <c r="F23" i="5"/>
  <c r="G23" i="5" s="1"/>
  <c r="H23" i="5" s="1"/>
  <c r="E25" i="5"/>
  <c r="E53" i="5"/>
  <c r="E52" i="5"/>
  <c r="E54" i="5"/>
  <c r="F60" i="5"/>
  <c r="G60" i="5" s="1"/>
  <c r="H60" i="5" s="1"/>
  <c r="E61" i="5"/>
  <c r="E62" i="5"/>
  <c r="E63" i="5"/>
  <c r="F33" i="5"/>
  <c r="G33" i="5" s="1"/>
  <c r="H33" i="5" s="1"/>
  <c r="E35" i="5"/>
  <c r="E34" i="5"/>
  <c r="F15" i="5"/>
  <c r="G15" i="5" s="1"/>
  <c r="H15" i="5" s="1"/>
  <c r="E17" i="5"/>
  <c r="F41" i="5"/>
  <c r="G41" i="5" s="1"/>
  <c r="H41" i="5" s="1"/>
  <c r="E43" i="5"/>
  <c r="F43" i="5" s="1"/>
  <c r="G43" i="5" s="1"/>
  <c r="H43" i="5" s="1"/>
  <c r="I43" i="5" s="1"/>
  <c r="J43" i="5" s="1"/>
  <c r="K43" i="5" s="1"/>
  <c r="L43" i="5" s="1"/>
  <c r="M43" i="5" s="1"/>
  <c r="N43" i="5" s="1"/>
  <c r="O43" i="5" s="1"/>
  <c r="P43" i="5" s="1"/>
  <c r="Q43" i="5" s="1"/>
  <c r="R43" i="5" s="1"/>
  <c r="S43" i="5" s="1"/>
  <c r="T43" i="5" s="1"/>
  <c r="U43" i="5" s="1"/>
  <c r="V43" i="5" s="1"/>
  <c r="D55" i="5"/>
  <c r="D64" i="5"/>
  <c r="E73" i="5"/>
  <c r="F73" i="5" s="1"/>
  <c r="G73" i="5" s="1"/>
  <c r="H73" i="5" s="1"/>
  <c r="I73" i="5" s="1"/>
  <c r="J73" i="5" s="1"/>
  <c r="K73" i="5" s="1"/>
  <c r="E70" i="5"/>
  <c r="F70" i="5" s="1"/>
  <c r="E71" i="5"/>
  <c r="F71" i="5" s="1"/>
  <c r="G71" i="5" s="1"/>
  <c r="H71" i="5" s="1"/>
  <c r="I71" i="5" s="1"/>
  <c r="J71" i="5" s="1"/>
  <c r="K71" i="5" s="1"/>
  <c r="D36" i="5"/>
  <c r="C75" i="5"/>
  <c r="E83" i="5"/>
  <c r="F83" i="5" s="1"/>
  <c r="G83" i="5" s="1"/>
  <c r="H83" i="5" s="1"/>
  <c r="I83" i="5" s="1"/>
  <c r="J83" i="5" s="1"/>
  <c r="K83" i="5" s="1"/>
  <c r="E81" i="5"/>
  <c r="F81" i="5" s="1"/>
  <c r="G81" i="5" s="1"/>
  <c r="H81" i="5" s="1"/>
  <c r="I81" i="5" s="1"/>
  <c r="J81" i="5" s="1"/>
  <c r="K81" i="5" s="1"/>
  <c r="D18" i="5"/>
  <c r="D74" i="5"/>
  <c r="F51" i="5"/>
  <c r="G51" i="5" s="1"/>
  <c r="H51" i="5" s="1"/>
  <c r="D84" i="5"/>
  <c r="E80" i="5"/>
  <c r="C85" i="5"/>
  <c r="E114" i="122" l="1"/>
  <c r="E83" i="120"/>
  <c r="D111" i="122"/>
  <c r="D80" i="120"/>
  <c r="D110" i="122"/>
  <c r="D79" i="120"/>
  <c r="E113" i="122"/>
  <c r="E82" i="120"/>
  <c r="D105" i="122"/>
  <c r="D74" i="120"/>
  <c r="D102" i="120" s="1"/>
  <c r="D106" i="122"/>
  <c r="D75" i="120"/>
  <c r="D103" i="120" s="1"/>
  <c r="D113" i="122"/>
  <c r="D82" i="120"/>
  <c r="D102" i="122"/>
  <c r="D71" i="120"/>
  <c r="D100" i="120" s="1"/>
  <c r="D114" i="122"/>
  <c r="D83" i="120"/>
  <c r="D103" i="122"/>
  <c r="D72" i="120"/>
  <c r="D101" i="120" s="1"/>
  <c r="E106" i="122"/>
  <c r="E75" i="120"/>
  <c r="E103" i="120" s="1"/>
  <c r="E105" i="122"/>
  <c r="E74" i="120"/>
  <c r="E102" i="120" s="1"/>
  <c r="F25" i="5"/>
  <c r="G25" i="5" s="1"/>
  <c r="H25" i="5" s="1"/>
  <c r="I25" i="5" s="1"/>
  <c r="J25" i="5" s="1"/>
  <c r="K25" i="5" s="1"/>
  <c r="L25" i="5" s="1"/>
  <c r="M25" i="5" s="1"/>
  <c r="N25" i="5" s="1"/>
  <c r="O25" i="5" s="1"/>
  <c r="P25" i="5" s="1"/>
  <c r="Q25" i="5" s="1"/>
  <c r="R25" i="5" s="1"/>
  <c r="S25" i="5" s="1"/>
  <c r="T25" i="5" s="1"/>
  <c r="U25" i="5" s="1"/>
  <c r="V25" i="5" s="1"/>
  <c r="V26" i="5" s="1"/>
  <c r="D37" i="5"/>
  <c r="D38" i="5"/>
  <c r="D65" i="5"/>
  <c r="D66" i="5"/>
  <c r="D19" i="5"/>
  <c r="D20" i="5"/>
  <c r="E26" i="5"/>
  <c r="D56" i="5"/>
  <c r="D57" i="5"/>
  <c r="V44" i="5"/>
  <c r="W43" i="5"/>
  <c r="F34" i="5"/>
  <c r="G34" i="5" s="1"/>
  <c r="H34" i="5" s="1"/>
  <c r="I34" i="5" s="1"/>
  <c r="J34" i="5" s="1"/>
  <c r="K34" i="5" s="1"/>
  <c r="L34" i="5" s="1"/>
  <c r="M34" i="5" s="1"/>
  <c r="N34" i="5" s="1"/>
  <c r="O34" i="5" s="1"/>
  <c r="P34" i="5" s="1"/>
  <c r="Q34" i="5" s="1"/>
  <c r="R34" i="5" s="1"/>
  <c r="S34" i="5" s="1"/>
  <c r="T34" i="5" s="1"/>
  <c r="U34" i="5" s="1"/>
  <c r="V34" i="5" s="1"/>
  <c r="F54" i="5"/>
  <c r="G54" i="5" s="1"/>
  <c r="H54" i="5" s="1"/>
  <c r="I54" i="5" s="1"/>
  <c r="J54" i="5" s="1"/>
  <c r="K54" i="5" s="1"/>
  <c r="L54" i="5" s="1"/>
  <c r="M54" i="5" s="1"/>
  <c r="N54" i="5" s="1"/>
  <c r="O54" i="5" s="1"/>
  <c r="P54" i="5" s="1"/>
  <c r="Q54" i="5" s="1"/>
  <c r="R54" i="5" s="1"/>
  <c r="S54" i="5" s="1"/>
  <c r="T54" i="5" s="1"/>
  <c r="U54" i="5" s="1"/>
  <c r="V54" i="5" s="1"/>
  <c r="W54" i="5" s="1"/>
  <c r="X54" i="5" s="1"/>
  <c r="Y54" i="5" s="1"/>
  <c r="Z54" i="5" s="1"/>
  <c r="AA54" i="5" s="1"/>
  <c r="AB54" i="5" s="1"/>
  <c r="F52" i="5"/>
  <c r="G52" i="5" s="1"/>
  <c r="H52" i="5" s="1"/>
  <c r="I52" i="5" s="1"/>
  <c r="J52" i="5" s="1"/>
  <c r="K52" i="5" s="1"/>
  <c r="L52" i="5" s="1"/>
  <c r="M52" i="5" s="1"/>
  <c r="N52" i="5" s="1"/>
  <c r="O52" i="5" s="1"/>
  <c r="P52" i="5" s="1"/>
  <c r="Q52" i="5" s="1"/>
  <c r="R52" i="5" s="1"/>
  <c r="S52" i="5" s="1"/>
  <c r="T52" i="5" s="1"/>
  <c r="U52" i="5" s="1"/>
  <c r="V52" i="5" s="1"/>
  <c r="F62" i="5"/>
  <c r="G62" i="5" s="1"/>
  <c r="H62" i="5" s="1"/>
  <c r="I62" i="5" s="1"/>
  <c r="J62" i="5" s="1"/>
  <c r="K62" i="5" s="1"/>
  <c r="L62" i="5" s="1"/>
  <c r="M62" i="5" s="1"/>
  <c r="N62" i="5" s="1"/>
  <c r="O62" i="5" s="1"/>
  <c r="P62" i="5" s="1"/>
  <c r="Q62" i="5" s="1"/>
  <c r="R62" i="5" s="1"/>
  <c r="S62" i="5" s="1"/>
  <c r="T62" i="5" s="1"/>
  <c r="U62" i="5" s="1"/>
  <c r="V62" i="5" s="1"/>
  <c r="W62" i="5" s="1"/>
  <c r="X62" i="5" s="1"/>
  <c r="Y62" i="5" s="1"/>
  <c r="Z62" i="5" s="1"/>
  <c r="AA62" i="5" s="1"/>
  <c r="AB62" i="5" s="1"/>
  <c r="E72" i="5"/>
  <c r="E74" i="5" s="1"/>
  <c r="F61" i="5"/>
  <c r="G61" i="5" s="1"/>
  <c r="H61" i="5" s="1"/>
  <c r="I61" i="5" s="1"/>
  <c r="J61" i="5" s="1"/>
  <c r="K61" i="5" s="1"/>
  <c r="L61" i="5" s="1"/>
  <c r="M61" i="5" s="1"/>
  <c r="N61" i="5" s="1"/>
  <c r="O61" i="5" s="1"/>
  <c r="P61" i="5" s="1"/>
  <c r="Q61" i="5" s="1"/>
  <c r="R61" i="5" s="1"/>
  <c r="S61" i="5" s="1"/>
  <c r="T61" i="5" s="1"/>
  <c r="U61" i="5" s="1"/>
  <c r="V61" i="5" s="1"/>
  <c r="F35" i="5"/>
  <c r="G35" i="5" s="1"/>
  <c r="H35" i="5" s="1"/>
  <c r="I35" i="5" s="1"/>
  <c r="J35" i="5" s="1"/>
  <c r="K35" i="5" s="1"/>
  <c r="L35" i="5" s="1"/>
  <c r="M35" i="5" s="1"/>
  <c r="N35" i="5" s="1"/>
  <c r="O35" i="5" s="1"/>
  <c r="P35" i="5" s="1"/>
  <c r="Q35" i="5" s="1"/>
  <c r="R35" i="5" s="1"/>
  <c r="S35" i="5" s="1"/>
  <c r="T35" i="5" s="1"/>
  <c r="U35" i="5" s="1"/>
  <c r="V35" i="5" s="1"/>
  <c r="W35" i="5" s="1"/>
  <c r="X35" i="5" s="1"/>
  <c r="Y35" i="5" s="1"/>
  <c r="Z35" i="5" s="1"/>
  <c r="AA35" i="5" s="1"/>
  <c r="AB35" i="5" s="1"/>
  <c r="F53" i="5"/>
  <c r="G53" i="5" s="1"/>
  <c r="H53" i="5" s="1"/>
  <c r="I53" i="5" s="1"/>
  <c r="J53" i="5" s="1"/>
  <c r="K53" i="5" s="1"/>
  <c r="L53" i="5" s="1"/>
  <c r="M53" i="5" s="1"/>
  <c r="N53" i="5" s="1"/>
  <c r="O53" i="5" s="1"/>
  <c r="P53" i="5" s="1"/>
  <c r="Q53" i="5" s="1"/>
  <c r="R53" i="5" s="1"/>
  <c r="S53" i="5" s="1"/>
  <c r="T53" i="5" s="1"/>
  <c r="U53" i="5" s="1"/>
  <c r="V53" i="5" s="1"/>
  <c r="W53" i="5" s="1"/>
  <c r="X53" i="5" s="1"/>
  <c r="Y53" i="5" s="1"/>
  <c r="Z53" i="5" s="1"/>
  <c r="AA53" i="5" s="1"/>
  <c r="AB53" i="5" s="1"/>
  <c r="F17" i="5"/>
  <c r="E18" i="5"/>
  <c r="F63" i="5"/>
  <c r="G63" i="5" s="1"/>
  <c r="H63" i="5" s="1"/>
  <c r="I63" i="5" s="1"/>
  <c r="J63" i="5" s="1"/>
  <c r="K63" i="5" s="1"/>
  <c r="L63" i="5" s="1"/>
  <c r="M63" i="5" s="1"/>
  <c r="N63" i="5" s="1"/>
  <c r="O63" i="5" s="1"/>
  <c r="P63" i="5" s="1"/>
  <c r="Q63" i="5" s="1"/>
  <c r="R63" i="5" s="1"/>
  <c r="S63" i="5" s="1"/>
  <c r="T63" i="5" s="1"/>
  <c r="U63" i="5" s="1"/>
  <c r="V63" i="5" s="1"/>
  <c r="W63" i="5" s="1"/>
  <c r="X63" i="5" s="1"/>
  <c r="Y63" i="5" s="1"/>
  <c r="Z63" i="5" s="1"/>
  <c r="AA63" i="5" s="1"/>
  <c r="AB63" i="5" s="1"/>
  <c r="E82" i="5"/>
  <c r="F82" i="5" s="1"/>
  <c r="G82" i="5" s="1"/>
  <c r="H82" i="5" s="1"/>
  <c r="I82" i="5" s="1"/>
  <c r="J82" i="5" s="1"/>
  <c r="K82" i="5" s="1"/>
  <c r="E36" i="5"/>
  <c r="F80" i="5"/>
  <c r="D76" i="5"/>
  <c r="D75" i="5"/>
  <c r="D85" i="5"/>
  <c r="D86" i="5"/>
  <c r="E44" i="5"/>
  <c r="E55" i="5"/>
  <c r="G70" i="5"/>
  <c r="E64" i="5"/>
  <c r="D108" i="120" l="1"/>
  <c r="D109" i="120"/>
  <c r="E111" i="122"/>
  <c r="E80" i="120"/>
  <c r="D104" i="120"/>
  <c r="D105" i="120"/>
  <c r="D156" i="120"/>
  <c r="D128" i="120"/>
  <c r="E103" i="122"/>
  <c r="E72" i="120"/>
  <c r="E101" i="120" s="1"/>
  <c r="E110" i="122"/>
  <c r="E79" i="120"/>
  <c r="E110" i="120"/>
  <c r="E111" i="120"/>
  <c r="E109" i="120"/>
  <c r="E108" i="120"/>
  <c r="D110" i="120"/>
  <c r="D111" i="120"/>
  <c r="D159" i="120"/>
  <c r="D131" i="120"/>
  <c r="E130" i="120"/>
  <c r="E158" i="120"/>
  <c r="E131" i="120"/>
  <c r="E159" i="120"/>
  <c r="F26" i="5"/>
  <c r="D130" i="120"/>
  <c r="D158" i="120"/>
  <c r="D157" i="120"/>
  <c r="D129" i="120"/>
  <c r="W25" i="5"/>
  <c r="W26" i="5" s="1"/>
  <c r="E102" i="122"/>
  <c r="E71" i="120"/>
  <c r="E100" i="120" s="1"/>
  <c r="D106" i="120"/>
  <c r="D107" i="120"/>
  <c r="E57" i="5"/>
  <c r="E56" i="5"/>
  <c r="E38" i="5"/>
  <c r="E37" i="5"/>
  <c r="E65" i="5"/>
  <c r="E66" i="5"/>
  <c r="E27" i="5"/>
  <c r="E28" i="5"/>
  <c r="E45" i="5"/>
  <c r="E46" i="5"/>
  <c r="F27" i="5"/>
  <c r="F28" i="5"/>
  <c r="E20" i="5"/>
  <c r="E19" i="5"/>
  <c r="X25" i="5"/>
  <c r="V27" i="5"/>
  <c r="V28" i="5"/>
  <c r="W44" i="5"/>
  <c r="X43" i="5"/>
  <c r="V46" i="5"/>
  <c r="V45" i="5"/>
  <c r="V55" i="5"/>
  <c r="W52" i="5"/>
  <c r="V36" i="5"/>
  <c r="W34" i="5"/>
  <c r="V64" i="5"/>
  <c r="W61" i="5"/>
  <c r="G17" i="5"/>
  <c r="F18" i="5"/>
  <c r="E84" i="5"/>
  <c r="E85" i="5" s="1"/>
  <c r="F36" i="5"/>
  <c r="F72" i="5"/>
  <c r="F64" i="5"/>
  <c r="E76" i="5"/>
  <c r="E75" i="5"/>
  <c r="F84" i="5"/>
  <c r="G80" i="5"/>
  <c r="F44" i="5"/>
  <c r="H70" i="5"/>
  <c r="F55" i="5"/>
  <c r="W105" i="122" l="1"/>
  <c r="W74" i="120"/>
  <c r="W102" i="120" s="1"/>
  <c r="F111" i="122"/>
  <c r="F80" i="120"/>
  <c r="F105" i="122"/>
  <c r="F74" i="120"/>
  <c r="F102" i="120" s="1"/>
  <c r="E165" i="120"/>
  <c r="E164" i="120"/>
  <c r="E156" i="120"/>
  <c r="E128" i="120"/>
  <c r="F114" i="122"/>
  <c r="F83" i="120"/>
  <c r="E137" i="120"/>
  <c r="E136" i="120"/>
  <c r="D133" i="120"/>
  <c r="D132" i="120"/>
  <c r="E105" i="120"/>
  <c r="E104" i="120"/>
  <c r="F102" i="122"/>
  <c r="F71" i="120"/>
  <c r="F100" i="120" s="1"/>
  <c r="E157" i="120"/>
  <c r="E129" i="120"/>
  <c r="G106" i="122"/>
  <c r="G75" i="120"/>
  <c r="G103" i="120" s="1"/>
  <c r="D135" i="120"/>
  <c r="D134" i="120"/>
  <c r="F106" i="122"/>
  <c r="F75" i="120"/>
  <c r="F103" i="120" s="1"/>
  <c r="D137" i="120"/>
  <c r="D136" i="120"/>
  <c r="W113" i="122"/>
  <c r="W82" i="120"/>
  <c r="D161" i="120"/>
  <c r="D160" i="120"/>
  <c r="D167" i="120"/>
  <c r="D166" i="120"/>
  <c r="G105" i="122"/>
  <c r="G74" i="120"/>
  <c r="G102" i="120" s="1"/>
  <c r="D162" i="120"/>
  <c r="D163" i="120"/>
  <c r="E107" i="120"/>
  <c r="E106" i="120"/>
  <c r="E139" i="120"/>
  <c r="E138" i="120"/>
  <c r="F113" i="122"/>
  <c r="F82" i="120"/>
  <c r="D139" i="120"/>
  <c r="D138" i="120"/>
  <c r="W114" i="122"/>
  <c r="W83" i="120"/>
  <c r="F103" i="122"/>
  <c r="F72" i="120"/>
  <c r="F101" i="120" s="1"/>
  <c r="W106" i="122"/>
  <c r="W75" i="120"/>
  <c r="W103" i="120" s="1"/>
  <c r="F110" i="122"/>
  <c r="F79" i="120"/>
  <c r="D164" i="120"/>
  <c r="D165" i="120"/>
  <c r="E167" i="120"/>
  <c r="E166" i="120"/>
  <c r="F37" i="5"/>
  <c r="F38" i="5"/>
  <c r="F65" i="5"/>
  <c r="F66" i="5"/>
  <c r="F20" i="5"/>
  <c r="F19" i="5"/>
  <c r="F57" i="5"/>
  <c r="F56" i="5"/>
  <c r="F45" i="5"/>
  <c r="F46" i="5"/>
  <c r="X44" i="5"/>
  <c r="Y43" i="5"/>
  <c r="W64" i="5"/>
  <c r="X61" i="5"/>
  <c r="W45" i="5"/>
  <c r="W46" i="5"/>
  <c r="W36" i="5"/>
  <c r="X34" i="5"/>
  <c r="W55" i="5"/>
  <c r="X52" i="5"/>
  <c r="X26" i="5"/>
  <c r="Y25" i="5"/>
  <c r="V66" i="5"/>
  <c r="V65" i="5"/>
  <c r="V38" i="5"/>
  <c r="V37" i="5"/>
  <c r="V56" i="5"/>
  <c r="V57" i="5"/>
  <c r="W27" i="5"/>
  <c r="W28" i="5"/>
  <c r="H17" i="5"/>
  <c r="G18" i="5"/>
  <c r="E86" i="5"/>
  <c r="G26" i="5"/>
  <c r="G36" i="5"/>
  <c r="G72" i="5"/>
  <c r="F74" i="5"/>
  <c r="G84" i="5"/>
  <c r="H80" i="5"/>
  <c r="H26" i="5"/>
  <c r="G55" i="5"/>
  <c r="G44" i="5"/>
  <c r="I70" i="5"/>
  <c r="G64" i="5"/>
  <c r="F86" i="5"/>
  <c r="F85" i="5"/>
  <c r="G114" i="122" l="1"/>
  <c r="G83" i="120"/>
  <c r="X106" i="122"/>
  <c r="X75" i="120"/>
  <c r="X103" i="120" s="1"/>
  <c r="W108" i="120"/>
  <c r="W109" i="120"/>
  <c r="X105" i="122"/>
  <c r="X74" i="120"/>
  <c r="X102" i="120" s="1"/>
  <c r="G102" i="122"/>
  <c r="G71" i="120"/>
  <c r="G100" i="120" s="1"/>
  <c r="G111" i="122"/>
  <c r="G80" i="120"/>
  <c r="F105" i="120"/>
  <c r="F104" i="120"/>
  <c r="F109" i="120"/>
  <c r="F108" i="120"/>
  <c r="X114" i="122"/>
  <c r="X83" i="120"/>
  <c r="F158" i="120"/>
  <c r="F130" i="120"/>
  <c r="G111" i="120"/>
  <c r="G110" i="120"/>
  <c r="E160" i="120"/>
  <c r="E161" i="120"/>
  <c r="X113" i="122"/>
  <c r="X82" i="120"/>
  <c r="F131" i="120"/>
  <c r="F159" i="120"/>
  <c r="G103" i="122"/>
  <c r="G72" i="120"/>
  <c r="G101" i="120" s="1"/>
  <c r="F111" i="120"/>
  <c r="F110" i="120"/>
  <c r="G113" i="122"/>
  <c r="G82" i="120"/>
  <c r="F107" i="120"/>
  <c r="F106" i="120"/>
  <c r="G110" i="122"/>
  <c r="G79" i="120"/>
  <c r="W110" i="122"/>
  <c r="W79" i="120"/>
  <c r="W159" i="120"/>
  <c r="W131" i="120"/>
  <c r="W158" i="120"/>
  <c r="W130" i="120"/>
  <c r="F129" i="120"/>
  <c r="F157" i="120"/>
  <c r="G109" i="120"/>
  <c r="G108" i="120"/>
  <c r="E134" i="120"/>
  <c r="E135" i="120"/>
  <c r="E162" i="120"/>
  <c r="E163" i="120"/>
  <c r="F128" i="120"/>
  <c r="F156" i="120"/>
  <c r="W111" i="122"/>
  <c r="W80" i="120"/>
  <c r="W111" i="120"/>
  <c r="W110" i="120"/>
  <c r="E133" i="120"/>
  <c r="E132" i="120"/>
  <c r="G66" i="5"/>
  <c r="G65" i="5"/>
  <c r="H27" i="5"/>
  <c r="H28" i="5"/>
  <c r="G19" i="5"/>
  <c r="G20" i="5"/>
  <c r="G37" i="5"/>
  <c r="G38" i="5"/>
  <c r="G56" i="5"/>
  <c r="G57" i="5"/>
  <c r="G46" i="5"/>
  <c r="G45" i="5"/>
  <c r="G28" i="5"/>
  <c r="G27" i="5"/>
  <c r="Y34" i="5"/>
  <c r="X36" i="5"/>
  <c r="W38" i="5"/>
  <c r="W37" i="5"/>
  <c r="X28" i="5"/>
  <c r="X27" i="5"/>
  <c r="W66" i="5"/>
  <c r="W65" i="5"/>
  <c r="Y61" i="5"/>
  <c r="X64" i="5"/>
  <c r="Y52" i="5"/>
  <c r="X55" i="5"/>
  <c r="Y44" i="5"/>
  <c r="Z43" i="5"/>
  <c r="Y26" i="5"/>
  <c r="Z25" i="5"/>
  <c r="W56" i="5"/>
  <c r="W57" i="5"/>
  <c r="X45" i="5"/>
  <c r="X46" i="5"/>
  <c r="I17" i="5"/>
  <c r="H18" i="5"/>
  <c r="F75" i="5"/>
  <c r="F76" i="5"/>
  <c r="H72" i="5"/>
  <c r="G74" i="5"/>
  <c r="H36" i="5"/>
  <c r="J70" i="5"/>
  <c r="H44" i="5"/>
  <c r="H84" i="5"/>
  <c r="I80" i="5"/>
  <c r="H55" i="5"/>
  <c r="I26" i="5"/>
  <c r="H64" i="5"/>
  <c r="G85" i="5"/>
  <c r="G86" i="5"/>
  <c r="Y106" i="122" l="1"/>
  <c r="Y75" i="120"/>
  <c r="Y103" i="120" s="1"/>
  <c r="H103" i="122"/>
  <c r="H72" i="120"/>
  <c r="H101" i="120" s="1"/>
  <c r="W164" i="120"/>
  <c r="W165" i="120"/>
  <c r="F138" i="120"/>
  <c r="F139" i="120"/>
  <c r="X108" i="120"/>
  <c r="X109" i="120"/>
  <c r="G159" i="120"/>
  <c r="G131" i="120"/>
  <c r="Y114" i="122"/>
  <c r="Y83" i="120"/>
  <c r="X110" i="122"/>
  <c r="X79" i="120"/>
  <c r="H105" i="122"/>
  <c r="H74" i="120"/>
  <c r="H102" i="120" s="1"/>
  <c r="H102" i="122"/>
  <c r="H71" i="120"/>
  <c r="H100" i="120" s="1"/>
  <c r="W157" i="120"/>
  <c r="W129" i="120"/>
  <c r="F161" i="120"/>
  <c r="F160" i="120"/>
  <c r="Y113" i="122"/>
  <c r="Y82" i="120"/>
  <c r="X111" i="122"/>
  <c r="X80" i="120"/>
  <c r="H106" i="122"/>
  <c r="H75" i="120"/>
  <c r="H103" i="120" s="1"/>
  <c r="I106" i="122"/>
  <c r="I75" i="120"/>
  <c r="I103" i="120" s="1"/>
  <c r="F133" i="120"/>
  <c r="F132" i="120"/>
  <c r="X158" i="120"/>
  <c r="X130" i="120"/>
  <c r="X159" i="120"/>
  <c r="X131" i="120"/>
  <c r="X110" i="120"/>
  <c r="X111" i="120"/>
  <c r="F164" i="120"/>
  <c r="F165" i="120"/>
  <c r="W166" i="120"/>
  <c r="W167" i="120"/>
  <c r="H113" i="122"/>
  <c r="H82" i="120"/>
  <c r="H111" i="122"/>
  <c r="H80" i="120"/>
  <c r="F163" i="120"/>
  <c r="F162" i="120"/>
  <c r="G106" i="120"/>
  <c r="G107" i="120"/>
  <c r="F134" i="120"/>
  <c r="F135" i="120"/>
  <c r="G130" i="120"/>
  <c r="G158" i="120"/>
  <c r="W128" i="120"/>
  <c r="W156" i="120"/>
  <c r="I105" i="122"/>
  <c r="I74" i="120"/>
  <c r="I102" i="120" s="1"/>
  <c r="F136" i="120"/>
  <c r="F137" i="120"/>
  <c r="H114" i="122"/>
  <c r="H83" i="120"/>
  <c r="H110" i="122"/>
  <c r="H79" i="120"/>
  <c r="W138" i="120"/>
  <c r="W139" i="120"/>
  <c r="G105" i="120"/>
  <c r="G104" i="120"/>
  <c r="Y105" i="122"/>
  <c r="Y74" i="120"/>
  <c r="Y102" i="120" s="1"/>
  <c r="W137" i="120"/>
  <c r="W136" i="120"/>
  <c r="G156" i="120"/>
  <c r="G128" i="120"/>
  <c r="F167" i="120"/>
  <c r="F166" i="120"/>
  <c r="G129" i="120"/>
  <c r="G157" i="120"/>
  <c r="H66" i="5"/>
  <c r="H65" i="5"/>
  <c r="I27" i="5"/>
  <c r="I28" i="5"/>
  <c r="H56" i="5"/>
  <c r="H57" i="5"/>
  <c r="H45" i="5"/>
  <c r="H46" i="5"/>
  <c r="H19" i="5"/>
  <c r="H20" i="5"/>
  <c r="H37" i="5"/>
  <c r="H38" i="5"/>
  <c r="Z26" i="5"/>
  <c r="AA25" i="5"/>
  <c r="Y28" i="5"/>
  <c r="Y27" i="5"/>
  <c r="Z44" i="5"/>
  <c r="AA43" i="5"/>
  <c r="Z52" i="5"/>
  <c r="Y55" i="5"/>
  <c r="X65" i="5"/>
  <c r="X66" i="5"/>
  <c r="X37" i="5"/>
  <c r="X38" i="5"/>
  <c r="Y45" i="5"/>
  <c r="Y46" i="5"/>
  <c r="X56" i="5"/>
  <c r="X57" i="5"/>
  <c r="Y64" i="5"/>
  <c r="Z61" i="5"/>
  <c r="Z34" i="5"/>
  <c r="Y36" i="5"/>
  <c r="J17" i="5"/>
  <c r="I18" i="5"/>
  <c r="I36" i="5"/>
  <c r="G75" i="5"/>
  <c r="G76" i="5"/>
  <c r="I72" i="5"/>
  <c r="H74" i="5"/>
  <c r="J80" i="5"/>
  <c r="I84" i="5"/>
  <c r="I64" i="5"/>
  <c r="H86" i="5"/>
  <c r="H85" i="5"/>
  <c r="K70" i="5"/>
  <c r="J26" i="5"/>
  <c r="I44" i="5"/>
  <c r="I55" i="5"/>
  <c r="G165" i="120" l="1"/>
  <c r="G164" i="120"/>
  <c r="X138" i="120"/>
  <c r="X139" i="120"/>
  <c r="H110" i="120"/>
  <c r="H111" i="120"/>
  <c r="G136" i="120"/>
  <c r="G137" i="120"/>
  <c r="Y110" i="122"/>
  <c r="Y79" i="120"/>
  <c r="Z106" i="122"/>
  <c r="Z75" i="120"/>
  <c r="Z103" i="120" s="1"/>
  <c r="X164" i="120"/>
  <c r="X165" i="120"/>
  <c r="W134" i="120"/>
  <c r="W135" i="120"/>
  <c r="H109" i="120"/>
  <c r="H108" i="120"/>
  <c r="G166" i="120"/>
  <c r="G167" i="120"/>
  <c r="J105" i="122"/>
  <c r="J74" i="120"/>
  <c r="J102" i="120" s="1"/>
  <c r="G132" i="120"/>
  <c r="G133" i="120"/>
  <c r="W160" i="120"/>
  <c r="W161" i="120"/>
  <c r="I103" i="122"/>
  <c r="I72" i="120"/>
  <c r="I101" i="120" s="1"/>
  <c r="W162" i="120"/>
  <c r="W163" i="120"/>
  <c r="I102" i="122"/>
  <c r="I71" i="120"/>
  <c r="I100" i="120" s="1"/>
  <c r="X129" i="120"/>
  <c r="X157" i="120"/>
  <c r="Y159" i="120"/>
  <c r="Y131" i="120"/>
  <c r="I114" i="122"/>
  <c r="I83" i="120"/>
  <c r="G162" i="120"/>
  <c r="G163" i="120"/>
  <c r="Y108" i="120"/>
  <c r="Y109" i="120"/>
  <c r="I109" i="120"/>
  <c r="I108" i="120"/>
  <c r="H106" i="120"/>
  <c r="H107" i="120"/>
  <c r="Z114" i="122"/>
  <c r="Z83" i="120"/>
  <c r="H159" i="120"/>
  <c r="H131" i="120"/>
  <c r="I113" i="122"/>
  <c r="I82" i="120"/>
  <c r="J106" i="122"/>
  <c r="J75" i="120"/>
  <c r="J103" i="120" s="1"/>
  <c r="G135" i="120"/>
  <c r="G134" i="120"/>
  <c r="H156" i="120"/>
  <c r="H128" i="120"/>
  <c r="H130" i="120"/>
  <c r="H158" i="120"/>
  <c r="H104" i="120"/>
  <c r="H105" i="120"/>
  <c r="Z113" i="122"/>
  <c r="Z82" i="120"/>
  <c r="I111" i="122"/>
  <c r="I80" i="120"/>
  <c r="G161" i="120"/>
  <c r="G160" i="120"/>
  <c r="W132" i="120"/>
  <c r="W133" i="120"/>
  <c r="X166" i="120"/>
  <c r="X167" i="120"/>
  <c r="X128" i="120"/>
  <c r="X156" i="120"/>
  <c r="Y111" i="122"/>
  <c r="Y80" i="120"/>
  <c r="Z105" i="122"/>
  <c r="Z74" i="120"/>
  <c r="Z102" i="120" s="1"/>
  <c r="I110" i="122"/>
  <c r="I79" i="120"/>
  <c r="H157" i="120"/>
  <c r="H129" i="120"/>
  <c r="X136" i="120"/>
  <c r="X137" i="120"/>
  <c r="I110" i="120"/>
  <c r="I111" i="120"/>
  <c r="Y158" i="120"/>
  <c r="Y130" i="120"/>
  <c r="G138" i="120"/>
  <c r="G139" i="120"/>
  <c r="Y110" i="120"/>
  <c r="Y111" i="120"/>
  <c r="I45" i="5"/>
  <c r="I46" i="5"/>
  <c r="I38" i="5"/>
  <c r="I37" i="5"/>
  <c r="J27" i="5"/>
  <c r="J28" i="5"/>
  <c r="I65" i="5"/>
  <c r="I66" i="5"/>
  <c r="I20" i="5"/>
  <c r="I19" i="5"/>
  <c r="I57" i="5"/>
  <c r="I56" i="5"/>
  <c r="Y56" i="5"/>
  <c r="Y57" i="5"/>
  <c r="AA52" i="5"/>
  <c r="Z55" i="5"/>
  <c r="Z46" i="5"/>
  <c r="Z45" i="5"/>
  <c r="Y37" i="5"/>
  <c r="Y38" i="5"/>
  <c r="AA34" i="5"/>
  <c r="Z36" i="5"/>
  <c r="AA44" i="5"/>
  <c r="AB43" i="5"/>
  <c r="Z64" i="5"/>
  <c r="AA61" i="5"/>
  <c r="AB25" i="5"/>
  <c r="AA26" i="5"/>
  <c r="Y65" i="5"/>
  <c r="Y66" i="5"/>
  <c r="Z27" i="5"/>
  <c r="Z28" i="5"/>
  <c r="K17" i="5"/>
  <c r="J18" i="5"/>
  <c r="H76" i="5"/>
  <c r="H75" i="5"/>
  <c r="J72" i="5"/>
  <c r="I74" i="5"/>
  <c r="J36" i="5"/>
  <c r="I86" i="5"/>
  <c r="I85" i="5"/>
  <c r="J44" i="5"/>
  <c r="J84" i="5"/>
  <c r="K80" i="5"/>
  <c r="K84" i="5" s="1"/>
  <c r="J55" i="5"/>
  <c r="K26" i="5"/>
  <c r="J64" i="5"/>
  <c r="J102" i="122" l="1"/>
  <c r="J71" i="120"/>
  <c r="J100" i="120" s="1"/>
  <c r="J110" i="122"/>
  <c r="J79" i="120"/>
  <c r="H138" i="120"/>
  <c r="H139" i="120"/>
  <c r="X134" i="120"/>
  <c r="X135" i="120"/>
  <c r="J109" i="120"/>
  <c r="J108" i="120"/>
  <c r="J103" i="122"/>
  <c r="J72" i="120"/>
  <c r="J101" i="120" s="1"/>
  <c r="K105" i="122"/>
  <c r="K74" i="120"/>
  <c r="K102" i="120" s="1"/>
  <c r="J111" i="122"/>
  <c r="J80" i="120"/>
  <c r="Z109" i="120"/>
  <c r="Z108" i="120"/>
  <c r="H165" i="120"/>
  <c r="H164" i="120"/>
  <c r="H167" i="120"/>
  <c r="H166" i="120"/>
  <c r="I104" i="120"/>
  <c r="I105" i="120"/>
  <c r="J114" i="122"/>
  <c r="J83" i="120"/>
  <c r="Z130" i="120"/>
  <c r="Z158" i="120"/>
  <c r="H136" i="120"/>
  <c r="H137" i="120"/>
  <c r="J111" i="120"/>
  <c r="J110" i="120"/>
  <c r="K106" i="122"/>
  <c r="K75" i="120"/>
  <c r="K103" i="120" s="1"/>
  <c r="J113" i="122"/>
  <c r="J82" i="120"/>
  <c r="AA113" i="122"/>
  <c r="AA82" i="120"/>
  <c r="Y137" i="120"/>
  <c r="Y136" i="120"/>
  <c r="H133" i="120"/>
  <c r="H132" i="120"/>
  <c r="Z159" i="120"/>
  <c r="Z131" i="120"/>
  <c r="Y139" i="120"/>
  <c r="Y138" i="120"/>
  <c r="AA105" i="122"/>
  <c r="AA74" i="120"/>
  <c r="AA102" i="120" s="1"/>
  <c r="Z111" i="122"/>
  <c r="Z80" i="120"/>
  <c r="AA114" i="122"/>
  <c r="AA83" i="120"/>
  <c r="Y165" i="120"/>
  <c r="Y164" i="120"/>
  <c r="I131" i="120"/>
  <c r="I159" i="120"/>
  <c r="Y166" i="120"/>
  <c r="Y167" i="120"/>
  <c r="I106" i="120"/>
  <c r="I107" i="120"/>
  <c r="X160" i="120"/>
  <c r="X161" i="120"/>
  <c r="Z110" i="120"/>
  <c r="Z111" i="120"/>
  <c r="Z110" i="122"/>
  <c r="Z79" i="120"/>
  <c r="I156" i="120"/>
  <c r="I128" i="120"/>
  <c r="X132" i="120"/>
  <c r="X133" i="120"/>
  <c r="I157" i="120"/>
  <c r="I129" i="120"/>
  <c r="H134" i="120"/>
  <c r="H135" i="120"/>
  <c r="H161" i="120"/>
  <c r="H160" i="120"/>
  <c r="AA106" i="122"/>
  <c r="AA75" i="120"/>
  <c r="AA103" i="120" s="1"/>
  <c r="H162" i="120"/>
  <c r="H163" i="120"/>
  <c r="Y129" i="120"/>
  <c r="Y157" i="120"/>
  <c r="I158" i="120"/>
  <c r="I130" i="120"/>
  <c r="X162" i="120"/>
  <c r="X163" i="120"/>
  <c r="Y128" i="120"/>
  <c r="Y156" i="120"/>
  <c r="J56" i="5"/>
  <c r="J57" i="5"/>
  <c r="J19" i="5"/>
  <c r="J20" i="5"/>
  <c r="J65" i="5"/>
  <c r="J66" i="5"/>
  <c r="J37" i="5"/>
  <c r="J38" i="5"/>
  <c r="K28" i="5"/>
  <c r="K27" i="5"/>
  <c r="J45" i="5"/>
  <c r="J46" i="5"/>
  <c r="AA27" i="5"/>
  <c r="AA28" i="5"/>
  <c r="AB26" i="5"/>
  <c r="AA64" i="5"/>
  <c r="AB61" i="5"/>
  <c r="Z56" i="5"/>
  <c r="Z57" i="5"/>
  <c r="AA46" i="5"/>
  <c r="AA45" i="5"/>
  <c r="AA55" i="5"/>
  <c r="AB52" i="5"/>
  <c r="AB44" i="5"/>
  <c r="Z37" i="5"/>
  <c r="Z38" i="5"/>
  <c r="Z65" i="5"/>
  <c r="Z66" i="5"/>
  <c r="AB34" i="5"/>
  <c r="AA36" i="5"/>
  <c r="L17" i="5"/>
  <c r="K18" i="5"/>
  <c r="K64" i="5"/>
  <c r="K55" i="5"/>
  <c r="K44" i="5"/>
  <c r="J74" i="5"/>
  <c r="K72" i="5"/>
  <c r="K74" i="5" s="1"/>
  <c r="K75" i="5" s="1"/>
  <c r="K36" i="5"/>
  <c r="I76" i="5"/>
  <c r="I75" i="5"/>
  <c r="L26" i="5"/>
  <c r="K86" i="5"/>
  <c r="K85" i="5"/>
  <c r="J85" i="5"/>
  <c r="J86" i="5"/>
  <c r="Z129" i="120" l="1"/>
  <c r="Z157" i="120"/>
  <c r="Z166" i="120"/>
  <c r="Z167" i="120"/>
  <c r="K111" i="122"/>
  <c r="K80" i="120"/>
  <c r="K102" i="122"/>
  <c r="K71" i="120"/>
  <c r="K100" i="120" s="1"/>
  <c r="I133" i="120"/>
  <c r="I132" i="120"/>
  <c r="K110" i="122"/>
  <c r="K79" i="120"/>
  <c r="I136" i="120"/>
  <c r="I137" i="120"/>
  <c r="I160" i="120"/>
  <c r="I161" i="120"/>
  <c r="J107" i="120"/>
  <c r="J106" i="120"/>
  <c r="J105" i="120"/>
  <c r="J104" i="120"/>
  <c r="AA110" i="122"/>
  <c r="AA79" i="120"/>
  <c r="AB114" i="122"/>
  <c r="AB83" i="120"/>
  <c r="K114" i="122"/>
  <c r="K83" i="120"/>
  <c r="I135" i="120"/>
  <c r="I134" i="120"/>
  <c r="I167" i="120"/>
  <c r="I166" i="120"/>
  <c r="AA131" i="120"/>
  <c r="AA159" i="120"/>
  <c r="AA109" i="120"/>
  <c r="AA108" i="120"/>
  <c r="J158" i="120"/>
  <c r="J130" i="120"/>
  <c r="K109" i="120"/>
  <c r="K108" i="120"/>
  <c r="J128" i="120"/>
  <c r="J156" i="120"/>
  <c r="Z156" i="120"/>
  <c r="Z128" i="120"/>
  <c r="AB105" i="122"/>
  <c r="AB74" i="120"/>
  <c r="AB102" i="120" s="1"/>
  <c r="K113" i="122"/>
  <c r="K82" i="120"/>
  <c r="Y160" i="120"/>
  <c r="Y161" i="120"/>
  <c r="Z165" i="120"/>
  <c r="Z164" i="120"/>
  <c r="L106" i="122"/>
  <c r="L75" i="120"/>
  <c r="L103" i="120" s="1"/>
  <c r="K103" i="122"/>
  <c r="K72" i="120"/>
  <c r="K101" i="120" s="1"/>
  <c r="Y134" i="120"/>
  <c r="Y135" i="120"/>
  <c r="AB106" i="122"/>
  <c r="AB75" i="120"/>
  <c r="AB103" i="120" s="1"/>
  <c r="I165" i="120"/>
  <c r="I164" i="120"/>
  <c r="K111" i="120"/>
  <c r="K110" i="120"/>
  <c r="AB113" i="122"/>
  <c r="AB82" i="120"/>
  <c r="AA110" i="120"/>
  <c r="AA111" i="120"/>
  <c r="I163" i="120"/>
  <c r="I162" i="120"/>
  <c r="I139" i="120"/>
  <c r="I138" i="120"/>
  <c r="AA111" i="122"/>
  <c r="AA80" i="120"/>
  <c r="L105" i="122"/>
  <c r="L74" i="120"/>
  <c r="L102" i="120" s="1"/>
  <c r="Y133" i="120"/>
  <c r="Y132" i="120"/>
  <c r="Y163" i="120"/>
  <c r="Y162" i="120"/>
  <c r="Z139" i="120"/>
  <c r="Z138" i="120"/>
  <c r="AA130" i="120"/>
  <c r="AA158" i="120"/>
  <c r="Z137" i="120"/>
  <c r="Z136" i="120"/>
  <c r="J131" i="120"/>
  <c r="J159" i="120"/>
  <c r="J157" i="120"/>
  <c r="J129" i="120"/>
  <c r="K46" i="5"/>
  <c r="K45" i="5"/>
  <c r="L27" i="5"/>
  <c r="L28" i="5"/>
  <c r="K66" i="5"/>
  <c r="K65" i="5"/>
  <c r="K19" i="5"/>
  <c r="K20" i="5"/>
  <c r="K37" i="5"/>
  <c r="K38" i="5"/>
  <c r="K56" i="5"/>
  <c r="K57" i="5"/>
  <c r="AA65" i="5"/>
  <c r="AA66" i="5"/>
  <c r="AA37" i="5"/>
  <c r="AA38" i="5"/>
  <c r="AB36" i="5"/>
  <c r="AA56" i="5"/>
  <c r="AA57" i="5"/>
  <c r="AB46" i="5"/>
  <c r="AB45" i="5"/>
  <c r="AB27" i="5"/>
  <c r="AB28" i="5"/>
  <c r="AB64" i="5"/>
  <c r="AB55" i="5"/>
  <c r="M17" i="5"/>
  <c r="L18" i="5"/>
  <c r="L55" i="5"/>
  <c r="L64" i="5"/>
  <c r="L36" i="5"/>
  <c r="L44" i="5"/>
  <c r="K76" i="5"/>
  <c r="J75" i="5"/>
  <c r="J76" i="5"/>
  <c r="M26" i="5"/>
  <c r="AA157" i="120" l="1"/>
  <c r="AA129" i="120"/>
  <c r="AB108" i="120"/>
  <c r="AB109" i="120"/>
  <c r="J165" i="120"/>
  <c r="J164" i="120"/>
  <c r="L111" i="122"/>
  <c r="L80" i="120"/>
  <c r="L113" i="122"/>
  <c r="L82" i="120"/>
  <c r="AA165" i="120"/>
  <c r="AA164" i="120"/>
  <c r="Z133" i="120"/>
  <c r="Z132" i="120"/>
  <c r="AA167" i="120"/>
  <c r="AA166" i="120"/>
  <c r="AB131" i="120"/>
  <c r="AB159" i="120"/>
  <c r="K128" i="120"/>
  <c r="K156" i="120"/>
  <c r="AB111" i="122"/>
  <c r="AB80" i="120"/>
  <c r="L110" i="122"/>
  <c r="L79" i="120"/>
  <c r="L114" i="122"/>
  <c r="L83" i="120"/>
  <c r="J167" i="120"/>
  <c r="J166" i="120"/>
  <c r="AA136" i="120"/>
  <c r="AA137" i="120"/>
  <c r="L110" i="120"/>
  <c r="L111" i="120"/>
  <c r="Z160" i="120"/>
  <c r="Z161" i="120"/>
  <c r="J160" i="120"/>
  <c r="J161" i="120"/>
  <c r="AA139" i="120"/>
  <c r="AA138" i="120"/>
  <c r="K157" i="120"/>
  <c r="K129" i="120"/>
  <c r="Z163" i="120"/>
  <c r="Z162" i="120"/>
  <c r="M105" i="122"/>
  <c r="M74" i="120"/>
  <c r="M102" i="120" s="1"/>
  <c r="K159" i="120"/>
  <c r="K131" i="120"/>
  <c r="AB130" i="120"/>
  <c r="AB158" i="120"/>
  <c r="AC113" i="122"/>
  <c r="AC82" i="120"/>
  <c r="L103" i="122"/>
  <c r="L72" i="120"/>
  <c r="L101" i="120" s="1"/>
  <c r="J134" i="120"/>
  <c r="J135" i="120"/>
  <c r="AB110" i="120"/>
  <c r="AB111" i="120"/>
  <c r="K107" i="120"/>
  <c r="K106" i="120"/>
  <c r="AA156" i="120"/>
  <c r="AA128" i="120"/>
  <c r="K104" i="120"/>
  <c r="K105" i="120"/>
  <c r="J138" i="120"/>
  <c r="J139" i="120"/>
  <c r="L108" i="120"/>
  <c r="L109" i="120"/>
  <c r="AC105" i="122"/>
  <c r="AC74" i="120"/>
  <c r="AC102" i="120" s="1"/>
  <c r="AC106" i="122"/>
  <c r="AC75" i="120"/>
  <c r="AC103" i="120" s="1"/>
  <c r="AB110" i="122"/>
  <c r="AB79" i="120"/>
  <c r="J132" i="120"/>
  <c r="J133" i="120"/>
  <c r="Z134" i="120"/>
  <c r="Z135" i="120"/>
  <c r="K158" i="120"/>
  <c r="K130" i="120"/>
  <c r="AC114" i="122"/>
  <c r="AC83" i="120"/>
  <c r="L102" i="122"/>
  <c r="L71" i="120"/>
  <c r="L100" i="120" s="1"/>
  <c r="J163" i="120"/>
  <c r="J162" i="120"/>
  <c r="M106" i="122"/>
  <c r="M75" i="120"/>
  <c r="M103" i="120" s="1"/>
  <c r="J136" i="120"/>
  <c r="J137" i="120"/>
  <c r="L37" i="5"/>
  <c r="L38" i="5"/>
  <c r="L56" i="5"/>
  <c r="L57" i="5"/>
  <c r="L65" i="5"/>
  <c r="L66" i="5"/>
  <c r="L19" i="5"/>
  <c r="L20" i="5"/>
  <c r="M27" i="5"/>
  <c r="M28" i="5"/>
  <c r="L46" i="5"/>
  <c r="L45" i="5"/>
  <c r="AB38" i="5"/>
  <c r="AB37" i="5"/>
  <c r="AB57" i="5"/>
  <c r="AB56" i="5"/>
  <c r="AB66" i="5"/>
  <c r="AB65" i="5"/>
  <c r="N17" i="5"/>
  <c r="M18" i="5"/>
  <c r="M64" i="5"/>
  <c r="M55" i="5"/>
  <c r="M44" i="5"/>
  <c r="M36" i="5"/>
  <c r="N26" i="5"/>
  <c r="AA133" i="120" l="1"/>
  <c r="AA132" i="120"/>
  <c r="M108" i="120"/>
  <c r="M109" i="120"/>
  <c r="K162" i="120"/>
  <c r="K163" i="120"/>
  <c r="L129" i="120"/>
  <c r="L157" i="120"/>
  <c r="N105" i="122"/>
  <c r="N74" i="120"/>
  <c r="N102" i="120" s="1"/>
  <c r="AB156" i="120"/>
  <c r="AB128" i="120"/>
  <c r="AA161" i="120"/>
  <c r="AA160" i="120"/>
  <c r="K139" i="120"/>
  <c r="K138" i="120"/>
  <c r="L156" i="120"/>
  <c r="L128" i="120"/>
  <c r="K160" i="120"/>
  <c r="K161" i="120"/>
  <c r="AC131" i="120"/>
  <c r="AC159" i="120"/>
  <c r="AC108" i="120"/>
  <c r="AC109" i="120"/>
  <c r="K166" i="120"/>
  <c r="K167" i="120"/>
  <c r="K132" i="120"/>
  <c r="K133" i="120"/>
  <c r="M110" i="120"/>
  <c r="M111" i="120"/>
  <c r="AC110" i="122"/>
  <c r="AC79" i="120"/>
  <c r="M103" i="122"/>
  <c r="M72" i="120"/>
  <c r="M101" i="120" s="1"/>
  <c r="L104" i="120"/>
  <c r="L105" i="120"/>
  <c r="AB164" i="120"/>
  <c r="AB165" i="120"/>
  <c r="L159" i="120"/>
  <c r="L131" i="120"/>
  <c r="AB138" i="120"/>
  <c r="AB139" i="120"/>
  <c r="AC111" i="122"/>
  <c r="AC80" i="120"/>
  <c r="AC158" i="120"/>
  <c r="AC130" i="120"/>
  <c r="K136" i="120"/>
  <c r="K137" i="120"/>
  <c r="L106" i="120"/>
  <c r="L107" i="120"/>
  <c r="AB137" i="120"/>
  <c r="AB136" i="120"/>
  <c r="AA134" i="120"/>
  <c r="AA135" i="120"/>
  <c r="N106" i="122"/>
  <c r="N75" i="120"/>
  <c r="N103" i="120" s="1"/>
  <c r="AB166" i="120"/>
  <c r="AB167" i="120"/>
  <c r="L158" i="120"/>
  <c r="L130" i="120"/>
  <c r="M102" i="122"/>
  <c r="M71" i="120"/>
  <c r="M100" i="120" s="1"/>
  <c r="M113" i="122"/>
  <c r="M82" i="120"/>
  <c r="M111" i="122"/>
  <c r="M80" i="120"/>
  <c r="M114" i="122"/>
  <c r="M83" i="120"/>
  <c r="M110" i="122"/>
  <c r="M79" i="120"/>
  <c r="K164" i="120"/>
  <c r="K165" i="120"/>
  <c r="AC110" i="120"/>
  <c r="AC111" i="120"/>
  <c r="K134" i="120"/>
  <c r="K135" i="120"/>
  <c r="AB157" i="120"/>
  <c r="AB129" i="120"/>
  <c r="AA163" i="120"/>
  <c r="AA162" i="120"/>
  <c r="M57" i="5"/>
  <c r="M56" i="5"/>
  <c r="N27" i="5"/>
  <c r="N28" i="5"/>
  <c r="M65" i="5"/>
  <c r="M66" i="5"/>
  <c r="M20" i="5"/>
  <c r="M19" i="5"/>
  <c r="M38" i="5"/>
  <c r="M37" i="5"/>
  <c r="M45" i="5"/>
  <c r="M46" i="5"/>
  <c r="O17" i="5"/>
  <c r="N18" i="5"/>
  <c r="N64" i="5"/>
  <c r="N55" i="5"/>
  <c r="N36" i="5"/>
  <c r="N44" i="5"/>
  <c r="O26" i="5"/>
  <c r="AC137" i="120" l="1"/>
  <c r="AC136" i="120"/>
  <c r="L167" i="120"/>
  <c r="L166" i="120"/>
  <c r="L162" i="120"/>
  <c r="L163" i="120"/>
  <c r="AB162" i="120"/>
  <c r="AB163" i="120"/>
  <c r="M156" i="120"/>
  <c r="M128" i="120"/>
  <c r="M158" i="120"/>
  <c r="M130" i="120"/>
  <c r="N111" i="120"/>
  <c r="N110" i="120"/>
  <c r="AC164" i="120"/>
  <c r="AC165" i="120"/>
  <c r="N109" i="120"/>
  <c r="N108" i="120"/>
  <c r="L134" i="120"/>
  <c r="L135" i="120"/>
  <c r="N102" i="122"/>
  <c r="N71" i="120"/>
  <c r="N100" i="120" s="1"/>
  <c r="L133" i="120"/>
  <c r="L132" i="120"/>
  <c r="AB135" i="120"/>
  <c r="AB134" i="120"/>
  <c r="N103" i="122"/>
  <c r="N72" i="120"/>
  <c r="N101" i="120" s="1"/>
  <c r="AB160" i="120"/>
  <c r="AB161" i="120"/>
  <c r="M159" i="120"/>
  <c r="M131" i="120"/>
  <c r="AC157" i="120"/>
  <c r="AC129" i="120"/>
  <c r="L136" i="120"/>
  <c r="L137" i="120"/>
  <c r="AC166" i="120"/>
  <c r="AC167" i="120"/>
  <c r="N113" i="122"/>
  <c r="N82" i="120"/>
  <c r="AC156" i="120"/>
  <c r="AC128" i="120"/>
  <c r="L160" i="120"/>
  <c r="L161" i="120"/>
  <c r="AB132" i="120"/>
  <c r="AB133" i="120"/>
  <c r="M129" i="120"/>
  <c r="M157" i="120"/>
  <c r="L164" i="120"/>
  <c r="L165" i="120"/>
  <c r="M106" i="120"/>
  <c r="M107" i="120"/>
  <c r="N110" i="122"/>
  <c r="N79" i="120"/>
  <c r="O106" i="122"/>
  <c r="O75" i="120"/>
  <c r="O103" i="120" s="1"/>
  <c r="N114" i="122"/>
  <c r="N83" i="120"/>
  <c r="N111" i="122"/>
  <c r="N80" i="120"/>
  <c r="O105" i="122"/>
  <c r="O74" i="120"/>
  <c r="O102" i="120" s="1"/>
  <c r="M104" i="120"/>
  <c r="M105" i="120"/>
  <c r="L139" i="120"/>
  <c r="L138" i="120"/>
  <c r="AC138" i="120"/>
  <c r="AC139" i="120"/>
  <c r="N65" i="5"/>
  <c r="N66" i="5"/>
  <c r="N19" i="5"/>
  <c r="N20" i="5"/>
  <c r="N37" i="5"/>
  <c r="N38" i="5"/>
  <c r="O28" i="5"/>
  <c r="O27" i="5"/>
  <c r="N45" i="5"/>
  <c r="N46" i="5"/>
  <c r="N57" i="5"/>
  <c r="N56" i="5"/>
  <c r="P17" i="5"/>
  <c r="O18" i="5"/>
  <c r="O64" i="5"/>
  <c r="O55" i="5"/>
  <c r="O44" i="5"/>
  <c r="O36" i="5"/>
  <c r="P26" i="5"/>
  <c r="P106" i="122" l="1"/>
  <c r="P75" i="120"/>
  <c r="P103" i="120" s="1"/>
  <c r="N129" i="120"/>
  <c r="N157" i="120"/>
  <c r="O103" i="122"/>
  <c r="O72" i="120"/>
  <c r="O101" i="120" s="1"/>
  <c r="AC133" i="120"/>
  <c r="AC132" i="120"/>
  <c r="M139" i="120"/>
  <c r="M138" i="120"/>
  <c r="O114" i="122"/>
  <c r="O83" i="120"/>
  <c r="O102" i="122"/>
  <c r="O71" i="120"/>
  <c r="O100" i="120" s="1"/>
  <c r="AC160" i="120"/>
  <c r="AC161" i="120"/>
  <c r="AC135" i="120"/>
  <c r="AC134" i="120"/>
  <c r="M167" i="120"/>
  <c r="M166" i="120"/>
  <c r="O113" i="122"/>
  <c r="O82" i="120"/>
  <c r="P105" i="122"/>
  <c r="P74" i="120"/>
  <c r="P102" i="120" s="1"/>
  <c r="O111" i="122"/>
  <c r="O80" i="120"/>
  <c r="AC163" i="120"/>
  <c r="AC162" i="120"/>
  <c r="N107" i="120"/>
  <c r="N106" i="120"/>
  <c r="N128" i="120"/>
  <c r="N156" i="120"/>
  <c r="M162" i="120"/>
  <c r="M163" i="120"/>
  <c r="N130" i="120"/>
  <c r="N158" i="120"/>
  <c r="M137" i="120"/>
  <c r="M136" i="120"/>
  <c r="O108" i="120"/>
  <c r="O109" i="120"/>
  <c r="M135" i="120"/>
  <c r="M134" i="120"/>
  <c r="M165" i="120"/>
  <c r="M164" i="120"/>
  <c r="O110" i="122"/>
  <c r="O79" i="120"/>
  <c r="N105" i="120"/>
  <c r="N104" i="120"/>
  <c r="M133" i="120"/>
  <c r="M132" i="120"/>
  <c r="N131" i="120"/>
  <c r="N159" i="120"/>
  <c r="O111" i="120"/>
  <c r="O110" i="120"/>
  <c r="M160" i="120"/>
  <c r="M161" i="120"/>
  <c r="P28" i="5"/>
  <c r="P27" i="5"/>
  <c r="O37" i="5"/>
  <c r="O38" i="5"/>
  <c r="O19" i="5"/>
  <c r="O20" i="5"/>
  <c r="O56" i="5"/>
  <c r="O57" i="5"/>
  <c r="O66" i="5"/>
  <c r="O65" i="5"/>
  <c r="O46" i="5"/>
  <c r="O45" i="5"/>
  <c r="Q17" i="5"/>
  <c r="P18" i="5"/>
  <c r="P64" i="5"/>
  <c r="P55" i="5"/>
  <c r="P44" i="5"/>
  <c r="P36" i="5"/>
  <c r="Q26" i="5"/>
  <c r="O157" i="120" l="1"/>
  <c r="O129" i="120"/>
  <c r="O106" i="120"/>
  <c r="O107" i="120"/>
  <c r="Q106" i="122"/>
  <c r="Q75" i="120"/>
  <c r="Q103" i="120" s="1"/>
  <c r="N164" i="120"/>
  <c r="N165" i="120"/>
  <c r="P111" i="120"/>
  <c r="P110" i="120"/>
  <c r="N136" i="120"/>
  <c r="N137" i="120"/>
  <c r="N163" i="120"/>
  <c r="N162" i="120"/>
  <c r="P109" i="120"/>
  <c r="P108" i="120"/>
  <c r="P111" i="122"/>
  <c r="P80" i="120"/>
  <c r="N166" i="120"/>
  <c r="N167" i="120"/>
  <c r="P110" i="122"/>
  <c r="P79" i="120"/>
  <c r="N138" i="120"/>
  <c r="N139" i="120"/>
  <c r="N160" i="120"/>
  <c r="N161" i="120"/>
  <c r="O159" i="120"/>
  <c r="O131" i="120"/>
  <c r="O105" i="120"/>
  <c r="O104" i="120"/>
  <c r="Q105" i="122"/>
  <c r="Q74" i="120"/>
  <c r="Q102" i="120" s="1"/>
  <c r="O130" i="120"/>
  <c r="O158" i="120"/>
  <c r="P103" i="122"/>
  <c r="P72" i="120"/>
  <c r="P101" i="120" s="1"/>
  <c r="O128" i="120"/>
  <c r="O156" i="120"/>
  <c r="P102" i="122"/>
  <c r="P71" i="120"/>
  <c r="P100" i="120" s="1"/>
  <c r="N135" i="120"/>
  <c r="N134" i="120"/>
  <c r="P113" i="122"/>
  <c r="P82" i="120"/>
  <c r="P114" i="122"/>
  <c r="P83" i="120"/>
  <c r="N133" i="120"/>
  <c r="N132" i="120"/>
  <c r="P45" i="5"/>
  <c r="P46" i="5"/>
  <c r="P56" i="5"/>
  <c r="P57" i="5"/>
  <c r="P19" i="5"/>
  <c r="P20" i="5"/>
  <c r="Q27" i="5"/>
  <c r="Q28" i="5"/>
  <c r="P66" i="5"/>
  <c r="P65" i="5"/>
  <c r="P37" i="5"/>
  <c r="P38" i="5"/>
  <c r="R17" i="5"/>
  <c r="Q18" i="5"/>
  <c r="Q64" i="5"/>
  <c r="Q55" i="5"/>
  <c r="Q36" i="5"/>
  <c r="Q44" i="5"/>
  <c r="R26" i="5"/>
  <c r="Q102" i="122" l="1"/>
  <c r="Q71" i="120"/>
  <c r="Q100" i="120" s="1"/>
  <c r="O165" i="120"/>
  <c r="O164" i="120"/>
  <c r="R106" i="122"/>
  <c r="R75" i="120"/>
  <c r="R103" i="120" s="1"/>
  <c r="O136" i="120"/>
  <c r="O137" i="120"/>
  <c r="Q110" i="120"/>
  <c r="Q111" i="120"/>
  <c r="O132" i="120"/>
  <c r="O133" i="120"/>
  <c r="P159" i="120"/>
  <c r="P131" i="120"/>
  <c r="Q114" i="122"/>
  <c r="Q83" i="120"/>
  <c r="P129" i="120"/>
  <c r="P157" i="120"/>
  <c r="Q110" i="122"/>
  <c r="Q79" i="120"/>
  <c r="Q113" i="122"/>
  <c r="Q82" i="120"/>
  <c r="P105" i="120"/>
  <c r="P104" i="120"/>
  <c r="O138" i="120"/>
  <c r="O139" i="120"/>
  <c r="O135" i="120"/>
  <c r="O134" i="120"/>
  <c r="R105" i="122"/>
  <c r="R74" i="120"/>
  <c r="R102" i="120" s="1"/>
  <c r="P130" i="120"/>
  <c r="P158" i="120"/>
  <c r="O161" i="120"/>
  <c r="O160" i="120"/>
  <c r="Q109" i="120"/>
  <c r="Q108" i="120"/>
  <c r="O167" i="120"/>
  <c r="O166" i="120"/>
  <c r="O162" i="120"/>
  <c r="O163" i="120"/>
  <c r="P107" i="120"/>
  <c r="P106" i="120"/>
  <c r="Q111" i="122"/>
  <c r="Q80" i="120"/>
  <c r="P128" i="120"/>
  <c r="P156" i="120"/>
  <c r="Q103" i="122"/>
  <c r="Q72" i="120"/>
  <c r="Q101" i="120" s="1"/>
  <c r="Q65" i="5"/>
  <c r="Q66" i="5"/>
  <c r="Q38" i="5"/>
  <c r="Q37" i="5"/>
  <c r="Q20" i="5"/>
  <c r="Q19" i="5"/>
  <c r="R27" i="5"/>
  <c r="R28" i="5"/>
  <c r="Q45" i="5"/>
  <c r="Q46" i="5"/>
  <c r="Q57" i="5"/>
  <c r="Q56" i="5"/>
  <c r="S17" i="5"/>
  <c r="R18" i="5"/>
  <c r="R64" i="5"/>
  <c r="R55" i="5"/>
  <c r="R44" i="5"/>
  <c r="R36" i="5"/>
  <c r="S26" i="5"/>
  <c r="Q158" i="120" l="1"/>
  <c r="Q130" i="120"/>
  <c r="Q104" i="120"/>
  <c r="Q105" i="120"/>
  <c r="R111" i="120"/>
  <c r="R110" i="120"/>
  <c r="S106" i="122"/>
  <c r="S75" i="120"/>
  <c r="S103" i="120" s="1"/>
  <c r="P137" i="120"/>
  <c r="P136" i="120"/>
  <c r="P165" i="120"/>
  <c r="P164" i="120"/>
  <c r="S105" i="122"/>
  <c r="S74" i="120"/>
  <c r="S102" i="120" s="1"/>
  <c r="R113" i="122"/>
  <c r="R82" i="120"/>
  <c r="R103" i="122"/>
  <c r="R72" i="120"/>
  <c r="R101" i="120" s="1"/>
  <c r="P160" i="120"/>
  <c r="P161" i="120"/>
  <c r="Q131" i="120"/>
  <c r="Q159" i="120"/>
  <c r="P138" i="120"/>
  <c r="P139" i="120"/>
  <c r="P134" i="120"/>
  <c r="P135" i="120"/>
  <c r="Q129" i="120"/>
  <c r="Q157" i="120"/>
  <c r="R102" i="122"/>
  <c r="R71" i="120"/>
  <c r="R100" i="120" s="1"/>
  <c r="R114" i="122"/>
  <c r="R83" i="120"/>
  <c r="R109" i="120"/>
  <c r="R108" i="120"/>
  <c r="R110" i="122"/>
  <c r="R79" i="120"/>
  <c r="P133" i="120"/>
  <c r="P132" i="120"/>
  <c r="Q156" i="120"/>
  <c r="Q128" i="120"/>
  <c r="P167" i="120"/>
  <c r="P166" i="120"/>
  <c r="R111" i="122"/>
  <c r="R80" i="120"/>
  <c r="Q107" i="120"/>
  <c r="Q106" i="120"/>
  <c r="P163" i="120"/>
  <c r="P162" i="120"/>
  <c r="S28" i="5"/>
  <c r="S27" i="5"/>
  <c r="R38" i="5"/>
  <c r="R37" i="5"/>
  <c r="R19" i="5"/>
  <c r="R20" i="5"/>
  <c r="R56" i="5"/>
  <c r="R57" i="5"/>
  <c r="R65" i="5"/>
  <c r="R66" i="5"/>
  <c r="R45" i="5"/>
  <c r="R46" i="5"/>
  <c r="T17" i="5"/>
  <c r="S18" i="5"/>
  <c r="S55" i="5"/>
  <c r="S64" i="5"/>
  <c r="S36" i="5"/>
  <c r="S44" i="5"/>
  <c r="T26" i="5"/>
  <c r="U26" i="5"/>
  <c r="S103" i="122" l="1"/>
  <c r="S72" i="120"/>
  <c r="S101" i="120" s="1"/>
  <c r="R107" i="120"/>
  <c r="R106" i="120"/>
  <c r="S109" i="120"/>
  <c r="S108" i="120"/>
  <c r="S110" i="122"/>
  <c r="S79" i="120"/>
  <c r="R156" i="120"/>
  <c r="R128" i="120"/>
  <c r="Q164" i="120"/>
  <c r="Q165" i="120"/>
  <c r="S111" i="122"/>
  <c r="S80" i="120"/>
  <c r="T106" i="122"/>
  <c r="T75" i="120"/>
  <c r="T103" i="120" s="1"/>
  <c r="Q134" i="120"/>
  <c r="Q135" i="120"/>
  <c r="R157" i="120"/>
  <c r="R129" i="120"/>
  <c r="Q138" i="120"/>
  <c r="Q139" i="120"/>
  <c r="R131" i="120"/>
  <c r="R159" i="120"/>
  <c r="S113" i="122"/>
  <c r="S82" i="120"/>
  <c r="T105" i="122"/>
  <c r="T74" i="120"/>
  <c r="T102" i="120" s="1"/>
  <c r="S114" i="122"/>
  <c r="S83" i="120"/>
  <c r="S102" i="122"/>
  <c r="S71" i="120"/>
  <c r="S100" i="120" s="1"/>
  <c r="Q136" i="120"/>
  <c r="Q137" i="120"/>
  <c r="Q163" i="120"/>
  <c r="Q162" i="120"/>
  <c r="R105" i="120"/>
  <c r="R104" i="120"/>
  <c r="Q166" i="120"/>
  <c r="Q167" i="120"/>
  <c r="Q132" i="120"/>
  <c r="Q133" i="120"/>
  <c r="Q160" i="120"/>
  <c r="Q161" i="120"/>
  <c r="R158" i="120"/>
  <c r="R130" i="120"/>
  <c r="S111" i="120"/>
  <c r="S110" i="120"/>
  <c r="S46" i="5"/>
  <c r="S45" i="5"/>
  <c r="S37" i="5"/>
  <c r="S38" i="5"/>
  <c r="U27" i="5"/>
  <c r="U28" i="5"/>
  <c r="S66" i="5"/>
  <c r="S65" i="5"/>
  <c r="T27" i="5"/>
  <c r="T28" i="5"/>
  <c r="S56" i="5"/>
  <c r="S57" i="5"/>
  <c r="S19" i="5"/>
  <c r="S20" i="5"/>
  <c r="U17" i="5"/>
  <c r="T18" i="5"/>
  <c r="U55" i="5"/>
  <c r="T55" i="5"/>
  <c r="U64" i="5"/>
  <c r="T64" i="5"/>
  <c r="U44" i="5"/>
  <c r="T44" i="5"/>
  <c r="U36" i="5"/>
  <c r="T36" i="5"/>
  <c r="R160" i="120" l="1"/>
  <c r="R161" i="120"/>
  <c r="U105" i="122"/>
  <c r="U74" i="120"/>
  <c r="U102" i="120" s="1"/>
  <c r="T111" i="122"/>
  <c r="T80" i="120"/>
  <c r="R164" i="120"/>
  <c r="R165" i="120"/>
  <c r="S128" i="120"/>
  <c r="S156" i="120"/>
  <c r="R133" i="120"/>
  <c r="R132" i="120"/>
  <c r="R137" i="120"/>
  <c r="R136" i="120"/>
  <c r="S105" i="120"/>
  <c r="S104" i="120"/>
  <c r="T110" i="122"/>
  <c r="T79" i="120"/>
  <c r="T110" i="120"/>
  <c r="T111" i="120"/>
  <c r="R166" i="120"/>
  <c r="R167" i="120"/>
  <c r="R162" i="120"/>
  <c r="R163" i="120"/>
  <c r="T113" i="122"/>
  <c r="T82" i="120"/>
  <c r="S130" i="120"/>
  <c r="S158" i="120"/>
  <c r="S106" i="120"/>
  <c r="S107" i="120"/>
  <c r="T108" i="120"/>
  <c r="T109" i="120"/>
  <c r="R135" i="120"/>
  <c r="R134" i="120"/>
  <c r="R139" i="120"/>
  <c r="R138" i="120"/>
  <c r="T114" i="122"/>
  <c r="T83" i="120"/>
  <c r="S157" i="120"/>
  <c r="S129" i="120"/>
  <c r="U106" i="122"/>
  <c r="U75" i="120"/>
  <c r="U103" i="120" s="1"/>
  <c r="T103" i="122"/>
  <c r="T72" i="120"/>
  <c r="T101" i="120" s="1"/>
  <c r="V106" i="122"/>
  <c r="V75" i="120"/>
  <c r="V103" i="120" s="1"/>
  <c r="T102" i="122"/>
  <c r="T71" i="120"/>
  <c r="T100" i="120" s="1"/>
  <c r="V105" i="122"/>
  <c r="V74" i="120"/>
  <c r="V102" i="120" s="1"/>
  <c r="S131" i="120"/>
  <c r="S159" i="120"/>
  <c r="T65" i="5"/>
  <c r="T66" i="5"/>
  <c r="U65" i="5"/>
  <c r="U66" i="5"/>
  <c r="T45" i="5"/>
  <c r="T46" i="5"/>
  <c r="T37" i="5"/>
  <c r="T38" i="5"/>
  <c r="U38" i="5"/>
  <c r="U37" i="5"/>
  <c r="T56" i="5"/>
  <c r="T57" i="5"/>
  <c r="U45" i="5"/>
  <c r="U46" i="5"/>
  <c r="U57" i="5"/>
  <c r="U56" i="5"/>
  <c r="T19" i="5"/>
  <c r="T20" i="5"/>
  <c r="U18" i="5"/>
  <c r="V17" i="5"/>
  <c r="S134" i="120" l="1"/>
  <c r="S135" i="120"/>
  <c r="V113" i="122"/>
  <c r="V82" i="120"/>
  <c r="T157" i="120"/>
  <c r="T129" i="120"/>
  <c r="T131" i="120"/>
  <c r="T159" i="120"/>
  <c r="S164" i="120"/>
  <c r="S165" i="120"/>
  <c r="V110" i="120"/>
  <c r="V111" i="120"/>
  <c r="I117" i="120"/>
  <c r="K117" i="120"/>
  <c r="J117" i="120"/>
  <c r="S137" i="120"/>
  <c r="S136" i="120"/>
  <c r="V110" i="122"/>
  <c r="V79" i="120"/>
  <c r="U111" i="122"/>
  <c r="U80" i="120"/>
  <c r="U114" i="122"/>
  <c r="U83" i="120"/>
  <c r="S132" i="120"/>
  <c r="S133" i="120"/>
  <c r="S138" i="120"/>
  <c r="S139" i="120"/>
  <c r="T156" i="120"/>
  <c r="T128" i="120"/>
  <c r="U108" i="120"/>
  <c r="U109" i="120"/>
  <c r="V108" i="120"/>
  <c r="V109" i="120"/>
  <c r="K116" i="120"/>
  <c r="I116" i="120"/>
  <c r="J116" i="120"/>
  <c r="V114" i="122"/>
  <c r="V83" i="120"/>
  <c r="S162" i="120"/>
  <c r="S163" i="120"/>
  <c r="U111" i="120"/>
  <c r="U110" i="120"/>
  <c r="S161" i="120"/>
  <c r="S160" i="120"/>
  <c r="U103" i="122"/>
  <c r="U72" i="120"/>
  <c r="U101" i="120" s="1"/>
  <c r="V111" i="122"/>
  <c r="V80" i="120"/>
  <c r="U110" i="122"/>
  <c r="U79" i="120"/>
  <c r="U113" i="122"/>
  <c r="U82" i="120"/>
  <c r="U102" i="122"/>
  <c r="U71" i="120"/>
  <c r="U100" i="120" s="1"/>
  <c r="S167" i="120"/>
  <c r="S166" i="120"/>
  <c r="T104" i="120"/>
  <c r="T105" i="120"/>
  <c r="T107" i="120"/>
  <c r="T106" i="120"/>
  <c r="T158" i="120"/>
  <c r="T130" i="120"/>
  <c r="U20" i="5"/>
  <c r="U19" i="5"/>
  <c r="W17" i="5"/>
  <c r="V18" i="5"/>
  <c r="U104" i="120" l="1"/>
  <c r="U105" i="120"/>
  <c r="T133" i="120"/>
  <c r="T132" i="120"/>
  <c r="V157" i="120"/>
  <c r="V129" i="120"/>
  <c r="U159" i="120"/>
  <c r="U131" i="120"/>
  <c r="W116" i="120"/>
  <c r="V116" i="120"/>
  <c r="U156" i="120"/>
  <c r="U128" i="120"/>
  <c r="U115" i="120"/>
  <c r="T115" i="120"/>
  <c r="V156" i="120"/>
  <c r="V128" i="120"/>
  <c r="Y116" i="120"/>
  <c r="X116" i="120"/>
  <c r="T167" i="120"/>
  <c r="T166" i="120"/>
  <c r="T137" i="120"/>
  <c r="T136" i="120"/>
  <c r="F117" i="120"/>
  <c r="G117" i="120"/>
  <c r="E117" i="120"/>
  <c r="D117" i="120"/>
  <c r="F119" i="120"/>
  <c r="D119" i="120"/>
  <c r="G119" i="120"/>
  <c r="V115" i="120"/>
  <c r="W115" i="120"/>
  <c r="X115" i="120"/>
  <c r="Y115" i="120"/>
  <c r="U116" i="120"/>
  <c r="T116" i="120"/>
  <c r="T139" i="120"/>
  <c r="T138" i="120"/>
  <c r="V158" i="120"/>
  <c r="V130" i="120"/>
  <c r="T162" i="120"/>
  <c r="T163" i="120"/>
  <c r="T164" i="120"/>
  <c r="T165" i="120"/>
  <c r="T160" i="120"/>
  <c r="T161" i="120"/>
  <c r="V102" i="122"/>
  <c r="V71" i="120"/>
  <c r="V100" i="120" s="1"/>
  <c r="E119" i="120"/>
  <c r="V103" i="122"/>
  <c r="V72" i="120"/>
  <c r="V101" i="120" s="1"/>
  <c r="U158" i="120"/>
  <c r="U130" i="120"/>
  <c r="U106" i="120"/>
  <c r="U107" i="120"/>
  <c r="V159" i="120"/>
  <c r="V131" i="120"/>
  <c r="F118" i="120"/>
  <c r="D118" i="120"/>
  <c r="E118" i="120"/>
  <c r="G118" i="120"/>
  <c r="U157" i="120"/>
  <c r="U129" i="120"/>
  <c r="E120" i="120"/>
  <c r="G120" i="120"/>
  <c r="F120" i="120"/>
  <c r="D120" i="120"/>
  <c r="T135" i="120"/>
  <c r="T134" i="120"/>
  <c r="V20" i="5"/>
  <c r="V19" i="5"/>
  <c r="W18" i="5"/>
  <c r="X17" i="5"/>
  <c r="I142" i="120" l="1"/>
  <c r="U141" i="120" s="1"/>
  <c r="U134" i="120"/>
  <c r="U135" i="120"/>
  <c r="U165" i="120"/>
  <c r="U164" i="120"/>
  <c r="V160" i="120"/>
  <c r="V161" i="120"/>
  <c r="U138" i="120"/>
  <c r="U139" i="120"/>
  <c r="U163" i="120"/>
  <c r="U162" i="120"/>
  <c r="U167" i="120"/>
  <c r="U166" i="120"/>
  <c r="L18" i="80"/>
  <c r="E18" i="80"/>
  <c r="K19" i="80"/>
  <c r="D19" i="80"/>
  <c r="M19" i="80"/>
  <c r="F19" i="80"/>
  <c r="U132" i="120"/>
  <c r="U133" i="120"/>
  <c r="V135" i="120"/>
  <c r="V134" i="120"/>
  <c r="I143" i="120"/>
  <c r="J143" i="120"/>
  <c r="K143" i="120"/>
  <c r="V139" i="120"/>
  <c r="V138" i="120"/>
  <c r="K145" i="120"/>
  <c r="J145" i="120"/>
  <c r="I145" i="120"/>
  <c r="I170" i="120"/>
  <c r="J19" i="80"/>
  <c r="C19" i="80"/>
  <c r="U161" i="120"/>
  <c r="U160" i="120"/>
  <c r="V163" i="120"/>
  <c r="V162" i="120"/>
  <c r="J171" i="120"/>
  <c r="I171" i="120"/>
  <c r="L17" i="80"/>
  <c r="E17" i="80"/>
  <c r="V165" i="120"/>
  <c r="V164" i="120"/>
  <c r="J172" i="120"/>
  <c r="K172" i="120"/>
  <c r="I172" i="120"/>
  <c r="J170" i="120"/>
  <c r="L19" i="80"/>
  <c r="E19" i="80"/>
  <c r="K170" i="120"/>
  <c r="W103" i="122"/>
  <c r="W72" i="120"/>
  <c r="W101" i="120" s="1"/>
  <c r="L20" i="80"/>
  <c r="E20" i="80"/>
  <c r="K171" i="120"/>
  <c r="C17" i="80"/>
  <c r="J17" i="80"/>
  <c r="W102" i="122"/>
  <c r="W71" i="120"/>
  <c r="W100" i="120" s="1"/>
  <c r="V104" i="120"/>
  <c r="V105" i="120"/>
  <c r="K17" i="80"/>
  <c r="D17" i="80"/>
  <c r="J142" i="120"/>
  <c r="D18" i="80"/>
  <c r="K18" i="80"/>
  <c r="V136" i="120"/>
  <c r="V137" i="120"/>
  <c r="I144" i="120"/>
  <c r="J144" i="120"/>
  <c r="K144" i="120"/>
  <c r="J18" i="80"/>
  <c r="C18" i="80"/>
  <c r="J20" i="80"/>
  <c r="C20" i="80"/>
  <c r="V167" i="120"/>
  <c r="V166" i="120"/>
  <c r="J173" i="120"/>
  <c r="K173" i="120"/>
  <c r="I173" i="120"/>
  <c r="M20" i="80"/>
  <c r="F20" i="80"/>
  <c r="V106" i="120"/>
  <c r="V107" i="120"/>
  <c r="K20" i="80"/>
  <c r="D20" i="80"/>
  <c r="M18" i="80"/>
  <c r="F18" i="80"/>
  <c r="U136" i="120"/>
  <c r="U137" i="120"/>
  <c r="M17" i="80"/>
  <c r="F17" i="80"/>
  <c r="V132" i="120"/>
  <c r="V133" i="120"/>
  <c r="K142" i="120"/>
  <c r="W20" i="5"/>
  <c r="W19" i="5"/>
  <c r="Y17" i="5"/>
  <c r="X18" i="5"/>
  <c r="T141" i="120" l="1"/>
  <c r="G144" i="120"/>
  <c r="F28" i="80" s="1"/>
  <c r="F144" i="120"/>
  <c r="E28" i="80" s="1"/>
  <c r="T169" i="120"/>
  <c r="U169" i="120"/>
  <c r="E169" i="120"/>
  <c r="F169" i="120"/>
  <c r="D169" i="120"/>
  <c r="G169" i="120"/>
  <c r="F176" i="120"/>
  <c r="D176" i="120"/>
  <c r="E176" i="120"/>
  <c r="G176" i="120"/>
  <c r="D146" i="120"/>
  <c r="F146" i="120"/>
  <c r="E146" i="120"/>
  <c r="G146" i="120"/>
  <c r="W106" i="120"/>
  <c r="W107" i="120"/>
  <c r="V169" i="120"/>
  <c r="W169" i="120"/>
  <c r="E145" i="120"/>
  <c r="F145" i="120"/>
  <c r="D145" i="120"/>
  <c r="G145" i="120"/>
  <c r="T171" i="120"/>
  <c r="U171" i="120"/>
  <c r="T170" i="120"/>
  <c r="U170" i="120"/>
  <c r="G170" i="120"/>
  <c r="X142" i="120"/>
  <c r="Y142" i="120"/>
  <c r="F142" i="120"/>
  <c r="E142" i="120"/>
  <c r="G142" i="120"/>
  <c r="V143" i="120"/>
  <c r="W143" i="120"/>
  <c r="D148" i="120"/>
  <c r="F148" i="120"/>
  <c r="E148" i="120"/>
  <c r="G148" i="120"/>
  <c r="F141" i="120"/>
  <c r="G141" i="120"/>
  <c r="E141" i="120"/>
  <c r="D141" i="120"/>
  <c r="T143" i="120"/>
  <c r="U143" i="120"/>
  <c r="Y170" i="120"/>
  <c r="X170" i="120"/>
  <c r="Y171" i="120"/>
  <c r="X171" i="120"/>
  <c r="T144" i="120"/>
  <c r="U144" i="120"/>
  <c r="V142" i="120"/>
  <c r="W142" i="120"/>
  <c r="V171" i="120"/>
  <c r="W171" i="120"/>
  <c r="D171" i="120"/>
  <c r="G171" i="120"/>
  <c r="E171" i="120"/>
  <c r="F171" i="120"/>
  <c r="V144" i="120"/>
  <c r="W144" i="120"/>
  <c r="U142" i="120"/>
  <c r="T142" i="120"/>
  <c r="W105" i="120"/>
  <c r="W104" i="120"/>
  <c r="F175" i="120"/>
  <c r="G175" i="120"/>
  <c r="D175" i="120"/>
  <c r="E175" i="120"/>
  <c r="U172" i="120"/>
  <c r="T172" i="120"/>
  <c r="D142" i="120"/>
  <c r="W141" i="120"/>
  <c r="V141" i="120"/>
  <c r="F173" i="120"/>
  <c r="E173" i="120"/>
  <c r="D173" i="120"/>
  <c r="G173" i="120"/>
  <c r="F172" i="120"/>
  <c r="E172" i="120"/>
  <c r="G172" i="120"/>
  <c r="D172" i="120"/>
  <c r="Y144" i="120"/>
  <c r="X144" i="120"/>
  <c r="E143" i="120"/>
  <c r="F143" i="120"/>
  <c r="G143" i="120"/>
  <c r="D143" i="120"/>
  <c r="V172" i="120"/>
  <c r="W172" i="120"/>
  <c r="E170" i="120"/>
  <c r="D170" i="120"/>
  <c r="F170" i="120"/>
  <c r="L28" i="80"/>
  <c r="W170" i="120"/>
  <c r="V170" i="120"/>
  <c r="X102" i="122"/>
  <c r="X71" i="120"/>
  <c r="X100" i="120" s="1"/>
  <c r="X103" i="122"/>
  <c r="X72" i="120"/>
  <c r="X101" i="120" s="1"/>
  <c r="Y141" i="120"/>
  <c r="X141" i="120"/>
  <c r="Y172" i="120"/>
  <c r="X172" i="120"/>
  <c r="Y143" i="120"/>
  <c r="X143" i="120"/>
  <c r="Y169" i="120"/>
  <c r="X169" i="120"/>
  <c r="D174" i="120"/>
  <c r="E174" i="120"/>
  <c r="G174" i="120"/>
  <c r="F174" i="120"/>
  <c r="D147" i="120"/>
  <c r="F147" i="120"/>
  <c r="G147" i="120"/>
  <c r="E147" i="120"/>
  <c r="D144" i="120"/>
  <c r="E144" i="120"/>
  <c r="Z17" i="5"/>
  <c r="Y18" i="5"/>
  <c r="X20" i="5"/>
  <c r="X19" i="5"/>
  <c r="M28" i="80" l="1"/>
  <c r="M31" i="80"/>
  <c r="F31" i="80"/>
  <c r="D26" i="80"/>
  <c r="K26" i="80"/>
  <c r="M30" i="80"/>
  <c r="F30" i="80"/>
  <c r="L31" i="80"/>
  <c r="E31" i="80"/>
  <c r="J39" i="80"/>
  <c r="C39" i="80"/>
  <c r="M25" i="80"/>
  <c r="F25" i="80"/>
  <c r="J42" i="80"/>
  <c r="C42" i="80"/>
  <c r="M41" i="80"/>
  <c r="F41" i="80"/>
  <c r="L25" i="80"/>
  <c r="E25" i="80"/>
  <c r="J32" i="80"/>
  <c r="C32" i="80"/>
  <c r="M29" i="80"/>
  <c r="F29" i="80"/>
  <c r="L30" i="80"/>
  <c r="E30" i="80"/>
  <c r="J44" i="80"/>
  <c r="C44" i="80"/>
  <c r="J41" i="80"/>
  <c r="C41" i="80"/>
  <c r="M38" i="80"/>
  <c r="F38" i="80"/>
  <c r="C29" i="80"/>
  <c r="J29" i="80"/>
  <c r="J30" i="80"/>
  <c r="C30" i="80"/>
  <c r="L44" i="80"/>
  <c r="E44" i="80"/>
  <c r="M43" i="80"/>
  <c r="F43" i="80"/>
  <c r="D32" i="80"/>
  <c r="K32" i="80"/>
  <c r="K42" i="80"/>
  <c r="D42" i="80"/>
  <c r="K27" i="80"/>
  <c r="D27" i="80"/>
  <c r="L32" i="80"/>
  <c r="E32" i="80"/>
  <c r="K44" i="80"/>
  <c r="D44" i="80"/>
  <c r="J31" i="80"/>
  <c r="C31" i="80"/>
  <c r="K41" i="80"/>
  <c r="D41" i="80"/>
  <c r="L29" i="80"/>
  <c r="E29" i="80"/>
  <c r="M37" i="80"/>
  <c r="F37" i="80"/>
  <c r="K28" i="80"/>
  <c r="D28" i="80"/>
  <c r="X104" i="120"/>
  <c r="X105" i="120"/>
  <c r="L38" i="80"/>
  <c r="E38" i="80"/>
  <c r="M40" i="80"/>
  <c r="F40" i="80"/>
  <c r="L41" i="80"/>
  <c r="E41" i="80"/>
  <c r="K29" i="80"/>
  <c r="D29" i="80"/>
  <c r="J37" i="80"/>
  <c r="C37" i="80"/>
  <c r="M42" i="80"/>
  <c r="F42" i="80"/>
  <c r="J26" i="80"/>
  <c r="C26" i="80"/>
  <c r="K30" i="80"/>
  <c r="D30" i="80"/>
  <c r="J28" i="80"/>
  <c r="C28" i="80"/>
  <c r="J38" i="80"/>
  <c r="C38" i="80"/>
  <c r="C27" i="80"/>
  <c r="J27" i="80"/>
  <c r="K40" i="80"/>
  <c r="D40" i="80"/>
  <c r="D43" i="80"/>
  <c r="K43" i="80"/>
  <c r="L39" i="80"/>
  <c r="E39" i="80"/>
  <c r="E37" i="80"/>
  <c r="L37" i="80"/>
  <c r="E27" i="80"/>
  <c r="L27" i="80"/>
  <c r="M39" i="80"/>
  <c r="F39" i="80"/>
  <c r="K25" i="80"/>
  <c r="D25" i="80"/>
  <c r="F44" i="80"/>
  <c r="M44" i="80"/>
  <c r="L43" i="80"/>
  <c r="E43" i="80"/>
  <c r="L26" i="80"/>
  <c r="E26" i="80"/>
  <c r="J40" i="80"/>
  <c r="C40" i="80"/>
  <c r="Y102" i="122"/>
  <c r="Y71" i="120"/>
  <c r="Y100" i="120" s="1"/>
  <c r="Y103" i="122"/>
  <c r="Y72" i="120"/>
  <c r="Y101" i="120" s="1"/>
  <c r="K31" i="80"/>
  <c r="D31" i="80"/>
  <c r="L42" i="80"/>
  <c r="E42" i="80"/>
  <c r="X106" i="120"/>
  <c r="X107" i="120"/>
  <c r="D38" i="80"/>
  <c r="K38" i="80"/>
  <c r="M27" i="80"/>
  <c r="F27" i="80"/>
  <c r="L40" i="80"/>
  <c r="E40" i="80"/>
  <c r="J43" i="80"/>
  <c r="C43" i="80"/>
  <c r="K39" i="80"/>
  <c r="D39" i="80"/>
  <c r="J25" i="80"/>
  <c r="C25" i="80"/>
  <c r="F32" i="80"/>
  <c r="M32" i="80"/>
  <c r="F26" i="80"/>
  <c r="M26" i="80"/>
  <c r="K37" i="80"/>
  <c r="D37" i="80"/>
  <c r="Y20" i="5"/>
  <c r="Y19" i="5"/>
  <c r="AA17" i="5"/>
  <c r="Z18" i="5"/>
  <c r="Y106" i="120" l="1"/>
  <c r="Y107" i="120"/>
  <c r="Z103" i="122"/>
  <c r="Z72" i="120"/>
  <c r="Z101" i="120" s="1"/>
  <c r="Z102" i="122"/>
  <c r="Z71" i="120"/>
  <c r="Z100" i="120" s="1"/>
  <c r="Y105" i="120"/>
  <c r="Y104" i="120"/>
  <c r="AB17" i="5"/>
  <c r="AA18" i="5"/>
  <c r="Z19" i="5"/>
  <c r="Z20" i="5"/>
  <c r="AA103" i="122" l="1"/>
  <c r="AA72" i="120"/>
  <c r="AA101" i="120" s="1"/>
  <c r="AA102" i="122"/>
  <c r="AA71" i="120"/>
  <c r="AA100" i="120" s="1"/>
  <c r="Z107" i="120"/>
  <c r="Z106" i="120"/>
  <c r="Z105" i="120"/>
  <c r="Z104" i="120"/>
  <c r="AA20" i="5"/>
  <c r="AA19" i="5"/>
  <c r="AB18" i="5"/>
  <c r="AB102" i="122" l="1"/>
  <c r="AB71" i="120"/>
  <c r="AB100" i="120" s="1"/>
  <c r="AA106" i="120"/>
  <c r="AA107" i="120"/>
  <c r="AB103" i="122"/>
  <c r="AB72" i="120"/>
  <c r="AB101" i="120" s="1"/>
  <c r="AA104" i="120"/>
  <c r="AA105" i="120"/>
  <c r="AB19" i="5"/>
  <c r="AB20" i="5"/>
  <c r="AB107" i="120" l="1"/>
  <c r="AB106" i="120"/>
  <c r="AB104" i="120"/>
  <c r="AB105" i="120"/>
  <c r="AC103" i="122"/>
  <c r="AC72" i="120"/>
  <c r="AC101" i="120" s="1"/>
  <c r="AC102" i="122"/>
  <c r="AC71" i="120"/>
  <c r="AC100" i="120" s="1"/>
  <c r="AC106" i="120" l="1"/>
  <c r="AC107" i="120"/>
  <c r="K115" i="120"/>
  <c r="J115" i="120"/>
  <c r="I115" i="120"/>
  <c r="AC105" i="120"/>
  <c r="AC104" i="120"/>
  <c r="K114" i="120"/>
  <c r="I114" i="120"/>
  <c r="J114" i="120"/>
  <c r="W113" i="120" l="1"/>
  <c r="V113" i="120"/>
  <c r="U113" i="120"/>
  <c r="T113" i="120"/>
  <c r="T114" i="120"/>
  <c r="U114" i="120"/>
  <c r="G113" i="120"/>
  <c r="F113" i="120"/>
  <c r="E113" i="120"/>
  <c r="D113" i="120"/>
  <c r="V114" i="120"/>
  <c r="W114" i="120"/>
  <c r="E114" i="120"/>
  <c r="D114" i="120"/>
  <c r="G114" i="120"/>
  <c r="F114" i="120"/>
  <c r="X114" i="120"/>
  <c r="Y114" i="120"/>
  <c r="G116" i="120"/>
  <c r="D116" i="120"/>
  <c r="F116" i="120"/>
  <c r="E116" i="120"/>
  <c r="E115" i="120"/>
  <c r="F115" i="120"/>
  <c r="G115" i="120"/>
  <c r="D115" i="120"/>
  <c r="X113" i="120"/>
  <c r="Y113" i="120"/>
  <c r="L15" i="80" l="1"/>
  <c r="E15" i="80"/>
  <c r="L13" i="80"/>
  <c r="E13" i="80"/>
  <c r="K15" i="80"/>
  <c r="D15" i="80"/>
  <c r="M13" i="80"/>
  <c r="F13" i="80"/>
  <c r="K16" i="80"/>
  <c r="D16" i="80"/>
  <c r="L16" i="80"/>
  <c r="E16" i="80"/>
  <c r="M14" i="80"/>
  <c r="F14" i="80"/>
  <c r="L14" i="80"/>
  <c r="E14" i="80"/>
  <c r="J15" i="80"/>
  <c r="C15" i="80"/>
  <c r="J16" i="80"/>
  <c r="C16" i="80"/>
  <c r="J14" i="80"/>
  <c r="C14" i="80"/>
  <c r="J13" i="80"/>
  <c r="C13" i="80"/>
  <c r="M15" i="80"/>
  <c r="F15" i="80"/>
  <c r="M16" i="80"/>
  <c r="F16" i="80"/>
  <c r="K14" i="80"/>
  <c r="D14" i="80"/>
  <c r="K13" i="80"/>
  <c r="D13" i="80"/>
</calcChain>
</file>

<file path=xl/comments1.xml><?xml version="1.0" encoding="utf-8"?>
<comments xmlns="http://schemas.openxmlformats.org/spreadsheetml/2006/main">
  <authors>
    <author>Elite2540p2</author>
  </authors>
  <commentList>
    <comment ref="R47" authorId="0">
      <text>
        <r>
          <rPr>
            <b/>
            <sz val="9"/>
            <color indexed="81"/>
            <rFont val="Tahoma"/>
            <family val="2"/>
          </rPr>
          <t>Elite2540p2:</t>
        </r>
        <r>
          <rPr>
            <sz val="9"/>
            <color indexed="81"/>
            <rFont val="Tahoma"/>
            <family val="2"/>
          </rPr>
          <t xml:space="preserve">
This is the damage cost weighed on the emissions per country in 2015
</t>
        </r>
      </text>
    </comment>
  </commentList>
</comments>
</file>

<file path=xl/sharedStrings.xml><?xml version="1.0" encoding="utf-8"?>
<sst xmlns="http://schemas.openxmlformats.org/spreadsheetml/2006/main" count="882" uniqueCount="283">
  <si>
    <t>Member State</t>
  </si>
  <si>
    <t>Belgium</t>
  </si>
  <si>
    <t>Bulgaria</t>
  </si>
  <si>
    <t>Cyprus</t>
  </si>
  <si>
    <t>Czech Republic</t>
  </si>
  <si>
    <t>Denmark</t>
  </si>
  <si>
    <t>Estonia</t>
  </si>
  <si>
    <t>Finland</t>
  </si>
  <si>
    <t>France</t>
  </si>
  <si>
    <t>Germany</t>
  </si>
  <si>
    <t>Greece</t>
  </si>
  <si>
    <t>Hungary</t>
  </si>
  <si>
    <t>Ireland</t>
  </si>
  <si>
    <t>Italy</t>
  </si>
  <si>
    <t>Latvia</t>
  </si>
  <si>
    <t>Lithuania</t>
  </si>
  <si>
    <t>Luxembourg</t>
  </si>
  <si>
    <t>Malta</t>
  </si>
  <si>
    <t>Netherlands</t>
  </si>
  <si>
    <t>Poland</t>
  </si>
  <si>
    <t>Portugal</t>
  </si>
  <si>
    <t>Romania</t>
  </si>
  <si>
    <t>Slovakia</t>
  </si>
  <si>
    <t>Slovenia</t>
  </si>
  <si>
    <t>Spain</t>
  </si>
  <si>
    <t>Sweden</t>
  </si>
  <si>
    <t>United Kingdom</t>
  </si>
  <si>
    <t>Austria</t>
  </si>
  <si>
    <t>PM Mortality</t>
  </si>
  <si>
    <t>O3 Mortality</t>
  </si>
  <si>
    <t>Health core?</t>
  </si>
  <si>
    <t>Crops</t>
  </si>
  <si>
    <t xml:space="preserve">O3/health metric </t>
  </si>
  <si>
    <t>VOLY - Median</t>
  </si>
  <si>
    <t>Yes</t>
  </si>
  <si>
    <t>Health senstivity?</t>
  </si>
  <si>
    <t>No</t>
  </si>
  <si>
    <t>SOMO 35</t>
  </si>
  <si>
    <t>VSL - Medium</t>
  </si>
  <si>
    <t>VOLY - Medium</t>
  </si>
  <si>
    <t>VOLY - Mean</t>
  </si>
  <si>
    <t>SOMO 0</t>
  </si>
  <si>
    <t>VSL - Mean</t>
  </si>
  <si>
    <t>Marginal VOC Damage (Euro) per tonne emission for 2010, with three sets of sensitivity analysis</t>
  </si>
  <si>
    <t>Year</t>
  </si>
  <si>
    <t>Total Costs</t>
  </si>
  <si>
    <t>Net Benefit</t>
  </si>
  <si>
    <t>NPV @ 10%</t>
  </si>
  <si>
    <t>Scenario 1</t>
  </si>
  <si>
    <t>Benefits VOCs Redcutions (VOCs)</t>
  </si>
  <si>
    <t>Total Benefits</t>
  </si>
  <si>
    <t>Population</t>
  </si>
  <si>
    <t>Basecase</t>
  </si>
  <si>
    <t>Scenario 2</t>
  </si>
  <si>
    <t>Scenario 3</t>
  </si>
  <si>
    <t>LOW</t>
  </si>
  <si>
    <t>HIGH</t>
  </si>
  <si>
    <t>SCENARIO I</t>
  </si>
  <si>
    <t>Year</t>
    <phoneticPr fontId="6" type="noConversion"/>
  </si>
  <si>
    <t xml:space="preserve">Canister </t>
    <phoneticPr fontId="6" type="noConversion"/>
  </si>
  <si>
    <t>Purge valve</t>
    <phoneticPr fontId="6" type="noConversion"/>
  </si>
  <si>
    <t>Total</t>
    <phoneticPr fontId="6" type="noConversion"/>
  </si>
  <si>
    <t>Total</t>
  </si>
  <si>
    <t>SCENARIO II</t>
  </si>
  <si>
    <t xml:space="preserve">Total </t>
  </si>
  <si>
    <t>SCENARIO III</t>
  </si>
  <si>
    <t>Low permeation tank and hoses</t>
    <phoneticPr fontId="6" type="noConversion"/>
  </si>
  <si>
    <t>Scenario III Plus-Low</t>
  </si>
  <si>
    <t>OBD</t>
  </si>
  <si>
    <t>Scenario III Plus-High</t>
  </si>
  <si>
    <t>High</t>
  </si>
  <si>
    <t>NPV @ 3%</t>
  </si>
  <si>
    <t>NPV @ 6%</t>
  </si>
  <si>
    <t xml:space="preserve">TOTAL NEW SALES OF EURO 6 VEHICLES </t>
  </si>
  <si>
    <t>Euro 6 Sales</t>
  </si>
  <si>
    <t>Low</t>
  </si>
  <si>
    <t>Euwide</t>
  </si>
  <si>
    <t>EU27</t>
  </si>
  <si>
    <t xml:space="preserve">g/day Reduction </t>
  </si>
  <si>
    <t>1kg butane = 1.06 gasoline</t>
  </si>
  <si>
    <t>Density of gasoline</t>
  </si>
  <si>
    <t>Cost of 1 litre of gasoline</t>
  </si>
  <si>
    <t>Reduction of NMVOC kg/Year per vehicle</t>
  </si>
  <si>
    <t>Monetary benefit/year per vehicle (Euros)</t>
  </si>
  <si>
    <t>NPV OF BENEFITS PER VEHICLE OVER USEFUL LIFE (10 Years)</t>
  </si>
  <si>
    <t>Value of fuel saved/year per vehicle</t>
  </si>
  <si>
    <t>NPV OF FUEL SAVED OVER 10 YEARS/Vehicle</t>
  </si>
  <si>
    <t>TOTAL BENEFITS OVER 10 YEARS/VEHICLE</t>
  </si>
  <si>
    <t xml:space="preserve">Value of fuel saved/year </t>
  </si>
  <si>
    <t xml:space="preserve">Value of CO2 emission avoided /Year </t>
  </si>
  <si>
    <t xml:space="preserve">Social Cost of Carbon </t>
  </si>
  <si>
    <t xml:space="preserve">Tonnes of CO2 emission avoided /Year </t>
  </si>
  <si>
    <t>(Tonnes)</t>
  </si>
  <si>
    <t>Price per litre of gasoline (Euros)</t>
  </si>
  <si>
    <t>Euros/tonne CO2</t>
  </si>
  <si>
    <t>NPV OF BENEFITS PER VEHICLE OVER USEFUL LIFE (15 Years)</t>
  </si>
  <si>
    <t>NPV OF FUEL SAVED OVER 15 YEARS/Vehicle</t>
  </si>
  <si>
    <t>TOTAL BENEFITS OVER 15 YEARS/VEHICLE</t>
  </si>
  <si>
    <t>ESTIMATION OF THE COSTS AND BENEFITS FOR EU27</t>
  </si>
  <si>
    <t>(AEA Technology, 2005).</t>
  </si>
  <si>
    <t>The ICM are used to specifically evaluate indirect costs that are likely to be affected by vehicle modifications. They can be used when the absence of information does not allow using indirect cost data specific to the modification</t>
  </si>
  <si>
    <t xml:space="preserve">Calculation of Net Benefits </t>
  </si>
  <si>
    <t xml:space="preserve">Calculation of Costs </t>
  </si>
  <si>
    <t xml:space="preserve">Calculation of the Net Present Value </t>
  </si>
  <si>
    <t xml:space="preserve">Discounting means placing a lower value on benefits and costs the further they are away in the future. </t>
  </si>
  <si>
    <t>Deciding on a single correct rate of social discount is difficult. Therefore a sensitivity analysis is undertaken to show how the NPV changes with varying discount rates.</t>
  </si>
  <si>
    <t xml:space="preserve">The Net Present Value (NPV) determines whether the discounted value of future benefits is greater or less than the discounted value of future costs, added up over a defined time period. </t>
  </si>
  <si>
    <t>(Rogozhin et al., 2010).</t>
  </si>
  <si>
    <t>Scenarios</t>
  </si>
  <si>
    <t xml:space="preserve">Fuel savings: This can be estimated from the amount of VOC emissions avoided. </t>
  </si>
  <si>
    <t>Fuel saving can occur due to more vapours trapped by the canister (or less vapours lost from the tank).</t>
  </si>
  <si>
    <t xml:space="preserve">It also provides the EU27 sales figures for Euro 6 vehicles. </t>
  </si>
  <si>
    <t>Estimated NMVOC Emissions for Gasoline Euro 6 vehicles (in tonnes)</t>
  </si>
  <si>
    <t>Estimated Costs of Implementing the Procedure (Euro/Vehicle)</t>
  </si>
  <si>
    <t>This table provides the estimated cost of implementating the new procedure under each scenario.</t>
  </si>
  <si>
    <t>Estimating Carbon Benefits</t>
  </si>
  <si>
    <t>The lower amount of fuel consumed can be translated in emission of CO2 avoided during the production process.</t>
  </si>
  <si>
    <t>Well to tank greenhouse gas emisions have been estimate that a MJ of fuel = 14.2 g/MJ (CONCAWE/EUCAR/JRC, 20xx).</t>
  </si>
  <si>
    <t>Price of 1 litre of gasoline = 1.5 Euros</t>
  </si>
  <si>
    <t>Assumption: all butane *</t>
  </si>
  <si>
    <t>Total savings are estimated over the useful life of the vehicle</t>
  </si>
  <si>
    <t>PRESENT VALUE OF NET BENEFITS (EMISSION REDUCTION OF NMVOC) FOR EU27</t>
  </si>
  <si>
    <t>These tables provide a summary of the Net Present Value (NPV)  for three different scenario for the period 2015-2030.</t>
  </si>
  <si>
    <t>The results provide the high and low range figures at different discount rates. For more information see</t>
  </si>
  <si>
    <t>Per Vehicle Costs and Benefits for the EU27</t>
  </si>
  <si>
    <t>The social cost of carbon is calculated ranges from 15 -40 Euros/tonne CO2. The EU ITS is 15 Euro/tonne.</t>
  </si>
  <si>
    <t xml:space="preserve">Calculation of Average Daily Evaporative Emissions </t>
  </si>
  <si>
    <t>The average daily NMVOC emission per vehicle (g/day) for each scenario for the period 2015-2030 were calcuated using the Copert Model.</t>
  </si>
  <si>
    <t>The avearge g/day reduction was calculated by substracting the estimated scenario g/day reduction from the baseline scenario (no action).</t>
  </si>
  <si>
    <t>The average daily reduction was then mutiplied by 365 to get the average redution per vehicle per year and converted to tonnes.</t>
  </si>
  <si>
    <t>The average emission reduction per year was then mutiplied by high and low external marginal damage figures to obtain the cost per tonne of VOC avoided.</t>
  </si>
  <si>
    <t>The NPV of per vehicle benefits are calculated over theuseful life of the vehicle (10 and 15 years).</t>
  </si>
  <si>
    <t>Value of Fuel Saved</t>
  </si>
  <si>
    <t xml:space="preserve">In addition the value of fuel saved has also been calculated per vehicle. </t>
  </si>
  <si>
    <t>Source:</t>
  </si>
  <si>
    <t>If the benefit-to-cost ratio is greater than 1, then the benefits outweigh the costs, and the higher the number, the better</t>
  </si>
  <si>
    <t>Benefit- Cost Ratio</t>
  </si>
  <si>
    <t>Total NP Benefits/Total Net Present Costs = BCR</t>
  </si>
  <si>
    <t>ICM Total  (Low Tech)</t>
  </si>
  <si>
    <t>ICM Total  (Medium Tech)</t>
  </si>
  <si>
    <t>Medium Run (after 5 years)</t>
  </si>
  <si>
    <t>Short Run (first 5 years)</t>
  </si>
  <si>
    <r>
      <rPr>
        <b/>
        <sz val="14"/>
        <color theme="1"/>
        <rFont val="Arial Narrow"/>
        <family val="2"/>
      </rPr>
      <t xml:space="preserve">Indirect Cost Multiplier </t>
    </r>
    <r>
      <rPr>
        <b/>
        <sz val="12"/>
        <color theme="1"/>
        <rFont val="Arial Narrow"/>
        <family val="2"/>
      </rPr>
      <t>("Automobile Indutry Retail Price Equivalent and Indirect Cost Multipliers", EPA-2009)</t>
    </r>
  </si>
  <si>
    <r>
      <t xml:space="preserve">High </t>
    </r>
    <r>
      <rPr>
        <i/>
        <sz val="11"/>
        <color theme="1"/>
        <rFont val="Calibri"/>
        <family val="2"/>
        <scheme val="minor"/>
      </rPr>
      <t>damage/ton of VOC</t>
    </r>
  </si>
  <si>
    <r>
      <t xml:space="preserve">Low </t>
    </r>
    <r>
      <rPr>
        <i/>
        <sz val="11"/>
        <color theme="1"/>
        <rFont val="Calibri"/>
        <family val="2"/>
        <scheme val="minor"/>
      </rPr>
      <t xml:space="preserve"> damage/ton of VOC</t>
    </r>
  </si>
  <si>
    <t>Weight 0</t>
  </si>
  <si>
    <t>Weight 1</t>
  </si>
  <si>
    <t>Weight 2</t>
  </si>
  <si>
    <t>Weight 3</t>
  </si>
  <si>
    <t>Low value</t>
  </si>
  <si>
    <t>High value</t>
  </si>
  <si>
    <t>Average weight</t>
  </si>
  <si>
    <t>Evaporative emissions / country 2015</t>
  </si>
  <si>
    <t>Average Low value</t>
  </si>
  <si>
    <t>Average high value</t>
  </si>
  <si>
    <r>
      <t xml:space="preserve">High </t>
    </r>
    <r>
      <rPr>
        <i/>
        <sz val="12"/>
        <color theme="1"/>
        <rFont val="Calibri"/>
        <family val="2"/>
        <scheme val="minor"/>
      </rPr>
      <t>(highest damage/ton)</t>
    </r>
  </si>
  <si>
    <r>
      <t xml:space="preserve">Low </t>
    </r>
    <r>
      <rPr>
        <i/>
        <sz val="12"/>
        <color theme="1"/>
        <rFont val="Calibri"/>
        <family val="2"/>
        <scheme val="minor"/>
      </rPr>
      <t>(lowest damage/ton)</t>
    </r>
  </si>
  <si>
    <t xml:space="preserve">Total CO2 emissions avoided </t>
  </si>
  <si>
    <t xml:space="preserve">NPV OF FUEL SAVED </t>
  </si>
  <si>
    <t>NPV OF CO2 SAVED</t>
  </si>
  <si>
    <t>Scenario 2+</t>
  </si>
  <si>
    <t>Low cost scenario</t>
  </si>
  <si>
    <t>Medium-low cost scenario</t>
  </si>
  <si>
    <t>Medium-high cost scenario</t>
  </si>
  <si>
    <t>High cost scenario</t>
  </si>
  <si>
    <t>Low cost/Low tech complexity</t>
  </si>
  <si>
    <t>Low cost/Medium tech complexity</t>
  </si>
  <si>
    <t>High cost/Medium tech complexity</t>
  </si>
  <si>
    <t>High cost/Low tech complexity</t>
  </si>
  <si>
    <r>
      <t>High</t>
    </r>
    <r>
      <rPr>
        <i/>
        <sz val="12"/>
        <color theme="1"/>
        <rFont val="Calibri"/>
        <family val="2"/>
        <scheme val="minor"/>
      </rPr>
      <t xml:space="preserve"> (damage)</t>
    </r>
    <r>
      <rPr>
        <b/>
        <sz val="12"/>
        <color theme="1"/>
        <rFont val="Calibri"/>
        <family val="2"/>
        <scheme val="minor"/>
      </rPr>
      <t>/Medium-Low</t>
    </r>
    <r>
      <rPr>
        <i/>
        <sz val="12"/>
        <color theme="1"/>
        <rFont val="Calibri"/>
        <family val="2"/>
        <scheme val="minor"/>
      </rPr>
      <t xml:space="preserve"> (cost)</t>
    </r>
  </si>
  <si>
    <r>
      <t xml:space="preserve">Low </t>
    </r>
    <r>
      <rPr>
        <i/>
        <sz val="12"/>
        <color theme="1"/>
        <rFont val="Calibri"/>
        <family val="2"/>
        <scheme val="minor"/>
      </rPr>
      <t>(damage)</t>
    </r>
    <r>
      <rPr>
        <b/>
        <sz val="12"/>
        <color theme="1"/>
        <rFont val="Calibri"/>
        <family val="2"/>
        <scheme val="minor"/>
      </rPr>
      <t>/Low</t>
    </r>
    <r>
      <rPr>
        <i/>
        <sz val="12"/>
        <color theme="1"/>
        <rFont val="Calibri"/>
        <family val="2"/>
        <scheme val="minor"/>
      </rPr>
      <t xml:space="preserve"> (cost)</t>
    </r>
  </si>
  <si>
    <r>
      <t>High</t>
    </r>
    <r>
      <rPr>
        <i/>
        <sz val="12"/>
        <color theme="1"/>
        <rFont val="Calibri"/>
        <family val="2"/>
        <scheme val="minor"/>
      </rPr>
      <t xml:space="preserve"> (damage)</t>
    </r>
    <r>
      <rPr>
        <b/>
        <sz val="12"/>
        <color theme="1"/>
        <rFont val="Calibri"/>
        <family val="2"/>
        <scheme val="minor"/>
      </rPr>
      <t>/Low</t>
    </r>
    <r>
      <rPr>
        <i/>
        <sz val="12"/>
        <color theme="1"/>
        <rFont val="Calibri"/>
        <family val="2"/>
        <scheme val="minor"/>
      </rPr>
      <t xml:space="preserve"> (cost)</t>
    </r>
  </si>
  <si>
    <r>
      <t>Low</t>
    </r>
    <r>
      <rPr>
        <i/>
        <sz val="12"/>
        <color theme="1"/>
        <rFont val="Calibri"/>
        <family val="2"/>
        <scheme val="minor"/>
      </rPr>
      <t xml:space="preserve"> (damage)</t>
    </r>
    <r>
      <rPr>
        <b/>
        <sz val="12"/>
        <color theme="1"/>
        <rFont val="Calibri"/>
        <family val="2"/>
        <scheme val="minor"/>
      </rPr>
      <t>/Medium-Low</t>
    </r>
    <r>
      <rPr>
        <i/>
        <sz val="12"/>
        <color theme="1"/>
        <rFont val="Calibri"/>
        <family val="2"/>
        <scheme val="minor"/>
      </rPr>
      <t xml:space="preserve"> (cost)</t>
    </r>
  </si>
  <si>
    <r>
      <t>High</t>
    </r>
    <r>
      <rPr>
        <i/>
        <sz val="12"/>
        <color theme="1"/>
        <rFont val="Calibri"/>
        <family val="2"/>
        <scheme val="minor"/>
      </rPr>
      <t xml:space="preserve"> (damage)</t>
    </r>
    <r>
      <rPr>
        <b/>
        <sz val="12"/>
        <color theme="1"/>
        <rFont val="Calibri"/>
        <family val="2"/>
        <scheme val="minor"/>
      </rPr>
      <t>/Medium-High</t>
    </r>
    <r>
      <rPr>
        <i/>
        <sz val="12"/>
        <color theme="1"/>
        <rFont val="Calibri"/>
        <family val="2"/>
        <scheme val="minor"/>
      </rPr>
      <t xml:space="preserve"> (cost)</t>
    </r>
  </si>
  <si>
    <r>
      <t>Low</t>
    </r>
    <r>
      <rPr>
        <i/>
        <sz val="12"/>
        <color theme="1"/>
        <rFont val="Calibri"/>
        <family val="2"/>
        <scheme val="minor"/>
      </rPr>
      <t xml:space="preserve"> (damage)</t>
    </r>
    <r>
      <rPr>
        <b/>
        <sz val="12"/>
        <color theme="1"/>
        <rFont val="Calibri"/>
        <family val="2"/>
        <scheme val="minor"/>
      </rPr>
      <t>/Medium-High</t>
    </r>
    <r>
      <rPr>
        <i/>
        <sz val="12"/>
        <color theme="1"/>
        <rFont val="Calibri"/>
        <family val="2"/>
        <scheme val="minor"/>
      </rPr>
      <t xml:space="preserve"> (cost)</t>
    </r>
  </si>
  <si>
    <r>
      <t>Low</t>
    </r>
    <r>
      <rPr>
        <i/>
        <sz val="12"/>
        <color theme="1"/>
        <rFont val="Calibri"/>
        <family val="2"/>
        <scheme val="minor"/>
      </rPr>
      <t xml:space="preserve"> (damage)</t>
    </r>
    <r>
      <rPr>
        <b/>
        <sz val="12"/>
        <color theme="1"/>
        <rFont val="Calibri"/>
        <family val="2"/>
        <scheme val="minor"/>
      </rPr>
      <t>/High</t>
    </r>
    <r>
      <rPr>
        <i/>
        <sz val="12"/>
        <color theme="1"/>
        <rFont val="Calibri"/>
        <family val="2"/>
        <scheme val="minor"/>
      </rPr>
      <t xml:space="preserve"> (cost)</t>
    </r>
  </si>
  <si>
    <r>
      <t>High</t>
    </r>
    <r>
      <rPr>
        <i/>
        <sz val="12"/>
        <color theme="1"/>
        <rFont val="Calibri"/>
        <family val="2"/>
        <scheme val="minor"/>
      </rPr>
      <t xml:space="preserve"> (damage)</t>
    </r>
    <r>
      <rPr>
        <b/>
        <sz val="12"/>
        <color theme="1"/>
        <rFont val="Calibri"/>
        <family val="2"/>
        <scheme val="minor"/>
      </rPr>
      <t>/High</t>
    </r>
    <r>
      <rPr>
        <i/>
        <sz val="12"/>
        <color theme="1"/>
        <rFont val="Calibri"/>
        <family val="2"/>
        <scheme val="minor"/>
      </rPr>
      <t xml:space="preserve"> (cost)</t>
    </r>
  </si>
  <si>
    <t>Net Present Value</t>
  </si>
  <si>
    <t>NPB (10%)_Low</t>
  </si>
  <si>
    <t>NPC (10%)</t>
  </si>
  <si>
    <t>NPB (10%)_High</t>
  </si>
  <si>
    <r>
      <t xml:space="preserve">Low </t>
    </r>
    <r>
      <rPr>
        <i/>
        <sz val="11"/>
        <color theme="1"/>
        <rFont val="Calibri"/>
        <family val="2"/>
        <scheme val="minor"/>
      </rPr>
      <t>(damage)</t>
    </r>
    <r>
      <rPr>
        <b/>
        <sz val="11"/>
        <color theme="1"/>
        <rFont val="Calibri"/>
        <family val="2"/>
        <scheme val="minor"/>
      </rPr>
      <t>/Low</t>
    </r>
    <r>
      <rPr>
        <i/>
        <sz val="11"/>
        <color theme="1"/>
        <rFont val="Calibri"/>
        <family val="2"/>
        <scheme val="minor"/>
      </rPr>
      <t xml:space="preserve"> (cost)</t>
    </r>
  </si>
  <si>
    <r>
      <t xml:space="preserve">High </t>
    </r>
    <r>
      <rPr>
        <i/>
        <sz val="11"/>
        <color theme="1"/>
        <rFont val="Calibri"/>
        <family val="2"/>
        <scheme val="minor"/>
      </rPr>
      <t>(damage)</t>
    </r>
    <r>
      <rPr>
        <b/>
        <sz val="11"/>
        <color theme="1"/>
        <rFont val="Calibri"/>
        <family val="2"/>
        <scheme val="minor"/>
      </rPr>
      <t xml:space="preserve">/Low </t>
    </r>
    <r>
      <rPr>
        <i/>
        <sz val="11"/>
        <color theme="1"/>
        <rFont val="Calibri"/>
        <family val="2"/>
        <scheme val="minor"/>
      </rPr>
      <t>(cost)</t>
    </r>
  </si>
  <si>
    <r>
      <t>Low</t>
    </r>
    <r>
      <rPr>
        <i/>
        <sz val="11"/>
        <color theme="1"/>
        <rFont val="Calibri"/>
        <family val="2"/>
        <scheme val="minor"/>
      </rPr>
      <t xml:space="preserve"> (damage)</t>
    </r>
    <r>
      <rPr>
        <b/>
        <sz val="11"/>
        <color theme="1"/>
        <rFont val="Calibri"/>
        <family val="2"/>
        <scheme val="minor"/>
      </rPr>
      <t xml:space="preserve">/Medium-Low </t>
    </r>
    <r>
      <rPr>
        <i/>
        <sz val="11"/>
        <color theme="1"/>
        <rFont val="Calibri"/>
        <family val="2"/>
        <scheme val="minor"/>
      </rPr>
      <t>(cost)</t>
    </r>
  </si>
  <si>
    <r>
      <t xml:space="preserve">High </t>
    </r>
    <r>
      <rPr>
        <i/>
        <sz val="11"/>
        <color theme="1"/>
        <rFont val="Calibri"/>
        <family val="2"/>
        <scheme val="minor"/>
      </rPr>
      <t>(damage)</t>
    </r>
    <r>
      <rPr>
        <b/>
        <sz val="11"/>
        <color theme="1"/>
        <rFont val="Calibri"/>
        <family val="2"/>
        <scheme val="minor"/>
      </rPr>
      <t xml:space="preserve">/Medium-Low </t>
    </r>
    <r>
      <rPr>
        <i/>
        <sz val="11"/>
        <color theme="1"/>
        <rFont val="Calibri"/>
        <family val="2"/>
        <scheme val="minor"/>
      </rPr>
      <t>(cost)</t>
    </r>
  </si>
  <si>
    <r>
      <t xml:space="preserve">Low </t>
    </r>
    <r>
      <rPr>
        <i/>
        <sz val="11"/>
        <color theme="1"/>
        <rFont val="Calibri"/>
        <family val="2"/>
        <scheme val="minor"/>
      </rPr>
      <t>(damage)</t>
    </r>
    <r>
      <rPr>
        <b/>
        <sz val="11"/>
        <color theme="1"/>
        <rFont val="Calibri"/>
        <family val="2"/>
        <scheme val="minor"/>
      </rPr>
      <t xml:space="preserve">/Medium-High </t>
    </r>
    <r>
      <rPr>
        <i/>
        <sz val="11"/>
        <color theme="1"/>
        <rFont val="Calibri"/>
        <family val="2"/>
        <scheme val="minor"/>
      </rPr>
      <t>(cost)</t>
    </r>
  </si>
  <si>
    <r>
      <t xml:space="preserve">High </t>
    </r>
    <r>
      <rPr>
        <i/>
        <sz val="11"/>
        <color theme="1"/>
        <rFont val="Calibri"/>
        <family val="2"/>
        <scheme val="minor"/>
      </rPr>
      <t>(damage)</t>
    </r>
    <r>
      <rPr>
        <b/>
        <sz val="11"/>
        <color theme="1"/>
        <rFont val="Calibri"/>
        <family val="2"/>
        <scheme val="minor"/>
      </rPr>
      <t xml:space="preserve">/Medium-High </t>
    </r>
    <r>
      <rPr>
        <i/>
        <sz val="11"/>
        <color theme="1"/>
        <rFont val="Calibri"/>
        <family val="2"/>
        <scheme val="minor"/>
      </rPr>
      <t>(cost)</t>
    </r>
  </si>
  <si>
    <r>
      <t xml:space="preserve">Low </t>
    </r>
    <r>
      <rPr>
        <i/>
        <sz val="11"/>
        <color theme="1"/>
        <rFont val="Calibri"/>
        <family val="2"/>
        <scheme val="minor"/>
      </rPr>
      <t>(damage)</t>
    </r>
    <r>
      <rPr>
        <b/>
        <sz val="11"/>
        <color theme="1"/>
        <rFont val="Calibri"/>
        <family val="2"/>
        <scheme val="minor"/>
      </rPr>
      <t xml:space="preserve">/High </t>
    </r>
    <r>
      <rPr>
        <i/>
        <sz val="11"/>
        <color theme="1"/>
        <rFont val="Calibri"/>
        <family val="2"/>
        <scheme val="minor"/>
      </rPr>
      <t>(cost)</t>
    </r>
  </si>
  <si>
    <r>
      <t xml:space="preserve">High </t>
    </r>
    <r>
      <rPr>
        <i/>
        <sz val="11"/>
        <color theme="1"/>
        <rFont val="Calibri"/>
        <family val="2"/>
        <scheme val="minor"/>
      </rPr>
      <t>(damage)</t>
    </r>
    <r>
      <rPr>
        <b/>
        <sz val="11"/>
        <color theme="1"/>
        <rFont val="Calibri"/>
        <family val="2"/>
        <scheme val="minor"/>
      </rPr>
      <t>/High</t>
    </r>
    <r>
      <rPr>
        <i/>
        <sz val="11"/>
        <color theme="1"/>
        <rFont val="Calibri"/>
        <family val="2"/>
        <scheme val="minor"/>
      </rPr>
      <t xml:space="preserve"> (cost)</t>
    </r>
  </si>
  <si>
    <t>(Cars equivalent)</t>
  </si>
  <si>
    <t>Calculated using the highest value for the damage per ton/VOC and the lowest cost scenario (lowest cost data provided and Indirect Cost Multiplier for low complexity technology)</t>
  </si>
  <si>
    <t>Calculated using the lowest value for the damage per ton/VOC and the lowest cost scenario (lowest cost data provided and Indirect Cost Multiplier for low complexity technology)</t>
  </si>
  <si>
    <t>Calculated using the highest value for the damage per ton/VOC and the lowest cost scenario (lowest cost data provided and Indirect Cost Multiplier for medium complexity technology)</t>
  </si>
  <si>
    <t>Calculated using the lowest value for the damage per ton/VOC and the medium-high cost scenario (highest cost data provided and Indirect Cost Multiplier for low complexity technology)</t>
  </si>
  <si>
    <t>Calculated using the lowest value for the damage per ton/VOC and the highest cost scenario (highest cost data provided and Indirect Cost Multiplier for medium complexity technology)</t>
  </si>
  <si>
    <t>Calculated using the highest value for the damage per ton/VOC and the highest cost scenario (highest cost data provided and Indirect Cost Multiplier for medium complexity technology)</t>
  </si>
  <si>
    <t>Calculated using the lowest value for the damage per ton/VOC and the medium-low cost scenario (lowest cost data provided and Indirect Cost Multiplier for medium complexity technology)</t>
  </si>
  <si>
    <t>Calculated using the highest value for the damage per ton/VOC and the medium-high cost scenario (highest cost data provided and Indirect Cost Multiplier for low complexity technology)</t>
  </si>
  <si>
    <t>(see REF_SCENARIO Costs)</t>
  </si>
  <si>
    <t>Scenario I (Low and Medium-low cost estimate)</t>
  </si>
  <si>
    <t>Scenario II Low (Low and Medium-low cost estimate)</t>
  </si>
  <si>
    <t>Scenario III (Low and Medium-low cost estimate)</t>
  </si>
  <si>
    <t>Scenario I (Medium-high and high cost estimate)</t>
  </si>
  <si>
    <t>Scenario II (Medium-high and high cost estimate)</t>
  </si>
  <si>
    <t>Scenario III (Medium-high and high cost estimate)</t>
  </si>
  <si>
    <t>SCENARIO III - (Assuming that in 2015 about 35% of vehicles are still equipped with monolayer tanks)</t>
  </si>
  <si>
    <t>ICM (Low complexity technology)</t>
  </si>
  <si>
    <t>ICM (Medium complexity technology)</t>
  </si>
  <si>
    <t xml:space="preserve">Additional cost per vehicle (ICM approach) </t>
  </si>
  <si>
    <t>These tables provide a summary of the Net Present Value (NPV)  for three different scenario for the period 2015-2040.</t>
  </si>
  <si>
    <t>This table provides the estimated emissions for each scenario for the EU27 using the Copert Model for the period 2015 - 2040.</t>
  </si>
  <si>
    <t>Indirect Cost Multiplier ("Automobile Indutry Retail Price Equivalent and Indirect Cost Multipliers", EPA-2009)</t>
  </si>
  <si>
    <t>Indirect Cost Mulitplier (ICM) are used to provide a range of low and high estimates over the short run (first 5 years) and the medium run (after 5 years).</t>
  </si>
  <si>
    <t>SHORT RUN</t>
  </si>
  <si>
    <t>LONG RUN</t>
  </si>
  <si>
    <t>NPC (6%)</t>
  </si>
  <si>
    <t>NPC (3%)</t>
  </si>
  <si>
    <t>NPB (6%)_Low</t>
  </si>
  <si>
    <t>NPB (6%)_High</t>
  </si>
  <si>
    <t>NPB (3%)_Low</t>
  </si>
  <si>
    <t>NPB (3%)_High</t>
  </si>
  <si>
    <t>CBR(10%)_Low</t>
  </si>
  <si>
    <t>CBR(10%)_High</t>
  </si>
  <si>
    <t>CBR(6%)_Low</t>
  </si>
  <si>
    <t>CBR(6%)_High</t>
  </si>
  <si>
    <t>CBR(3%)_Low</t>
  </si>
  <si>
    <t>CBR(3%)_High</t>
  </si>
  <si>
    <t>The benefit-cost ratio is another indicator that can be used in cost benefit analysis.</t>
  </si>
  <si>
    <t>Evaporative emissions / country 2030</t>
  </si>
  <si>
    <t>Per country emissions for each scenario were taken from the Copert model for 2015 and 2030.</t>
  </si>
  <si>
    <t>An average weighting was obtained for for each country across the four scenarios.</t>
  </si>
  <si>
    <t>Cost-Benefit Analysis of Evaporitve Emission Regulations</t>
  </si>
  <si>
    <t>2015-2030</t>
  </si>
  <si>
    <t>NPV @ 0%</t>
  </si>
  <si>
    <t>SCENARIO III - (Assuming that monoloayer tanks will progressively disappear between 2015 and 2021)</t>
  </si>
  <si>
    <t>Calculation of Benefits</t>
  </si>
  <si>
    <t>The estimated emissions avoided is caculated by substracting the estimated emissions for each scenario from the bascase scenario (i.e. where no action has been taken).</t>
  </si>
  <si>
    <t xml:space="preserve">The Copert Model was used to estimate evaporative emissions in tonnes of VOCs from the Euro 6 fleet and for the EU27 per each scenario. </t>
  </si>
  <si>
    <t xml:space="preserve">The net estimated emission avoided are then  mutipled by the lowest and the highest estimates for average external marginal cost per tonne of VOC (Euros) for the EU27. The external marginal costs are taken from CAFÉ Programme Study </t>
  </si>
  <si>
    <t>The per vehicle costs of implementing the new test procedure are calculated using the cost estimates from stakeholders. These were than adapted using an Indirect Cost Multplier (ICM) to obtain the complete cost in the short run (up to 5 years) and medium term (after 5 years).</t>
  </si>
  <si>
    <t xml:space="preserve">The low and high ICM adjusted per vehicle costs of implementation are then multipled by the number of EURO 6 vehicles sold in each year. </t>
  </si>
  <si>
    <t>The total costs per each year are then substracted from total benefits/year to obtain the Net Benefit/year for each scenario for the period 2015-2040.</t>
  </si>
  <si>
    <t xml:space="preserve">Nominal current values (excluding inflation) for Net Benefits in Euro are used. </t>
  </si>
  <si>
    <t>Deciding on a single correct rate of social discount is difficult. Therefore a sensitivity analysis is undertaken to show how the NPV changes with varying discount rates of 10%, 6%, 3% and 0%.</t>
  </si>
  <si>
    <r>
      <t xml:space="preserve">Scenario 1 </t>
    </r>
    <r>
      <rPr>
        <b/>
        <i/>
        <sz val="14"/>
        <color theme="1"/>
        <rFont val="Calibri"/>
        <family val="2"/>
        <scheme val="minor"/>
      </rPr>
      <t>(Implementation of a more aggressive purging strategy)</t>
    </r>
  </si>
  <si>
    <t>Net present costs with different discount rates</t>
  </si>
  <si>
    <t>Net present benefits with different discount rates</t>
  </si>
  <si>
    <r>
      <t xml:space="preserve">Scenario 2 </t>
    </r>
    <r>
      <rPr>
        <b/>
        <i/>
        <sz val="14"/>
        <color theme="1"/>
        <rFont val="Calibri"/>
        <family val="2"/>
        <scheme val="minor"/>
      </rPr>
      <t>(Implementation of a more aggressive purging strategy + 48 hours diurnal test)</t>
    </r>
  </si>
  <si>
    <t>Benefits VOCs Reductions (VOCs)</t>
  </si>
  <si>
    <t>1 kg of butane corresponding to 1.06 kg gasoline (density of gasoline: 0.74)</t>
  </si>
  <si>
    <t>Scenario 1: a more aggressive purging strategy is implemented</t>
  </si>
  <si>
    <t>Scenario 2: a more aggressive purging strategy is implemented + a 48 hours diurnal test</t>
  </si>
  <si>
    <t>Scenario 2+: a more aggressive purging strategy is implemented + a 48 hours diurnal test + durability requirements (better carbon quality only)</t>
  </si>
  <si>
    <t>Scenario 3: a more aggressive purging strategy is implemented + a 48 hours diurnal test + durability requirements (better carbon quality and low permeation material)</t>
  </si>
  <si>
    <r>
      <t xml:space="preserve">Scenario 2+ </t>
    </r>
    <r>
      <rPr>
        <b/>
        <i/>
        <sz val="14"/>
        <color theme="1"/>
        <rFont val="Calibri"/>
        <family val="2"/>
        <scheme val="minor"/>
      </rPr>
      <t>(Implementation of a more aggressive purging strategy + 48 hours diurnal test + better carbon quality)</t>
    </r>
  </si>
  <si>
    <r>
      <t xml:space="preserve">Scenario 3 </t>
    </r>
    <r>
      <rPr>
        <b/>
        <i/>
        <sz val="14"/>
        <color theme="1"/>
        <rFont val="Calibri"/>
        <family val="2"/>
        <scheme val="minor"/>
      </rPr>
      <t>(Implementation of a more aggressive purging strategy + 48 hours diurnal test + better carbon quality + low permeation material)</t>
    </r>
  </si>
  <si>
    <t xml:space="preserve">Four scenarios are examined.  </t>
  </si>
  <si>
    <t>INPUT PARAMETERS</t>
  </si>
  <si>
    <t>Gasoline price (euros/litres)</t>
  </si>
  <si>
    <t>External marginal cost per tonne of VOC (see REF_VOC_Costs sheet)</t>
  </si>
  <si>
    <r>
      <t xml:space="preserve">High </t>
    </r>
    <r>
      <rPr>
        <i/>
        <sz val="11"/>
        <color theme="1"/>
        <rFont val="Calibri"/>
        <family val="2"/>
        <scheme val="minor"/>
      </rPr>
      <t xml:space="preserve"> damage/ton of VOC</t>
    </r>
  </si>
  <si>
    <r>
      <t xml:space="preserve">Low  </t>
    </r>
    <r>
      <rPr>
        <i/>
        <sz val="11"/>
        <color theme="1"/>
        <rFont val="Calibri"/>
        <family val="2"/>
        <scheme val="minor"/>
      </rPr>
      <t>damage/ton of VOC</t>
    </r>
  </si>
  <si>
    <r>
      <t xml:space="preserve">High  </t>
    </r>
    <r>
      <rPr>
        <i/>
        <sz val="11"/>
        <color theme="1"/>
        <rFont val="Calibri"/>
        <family val="2"/>
        <scheme val="minor"/>
      </rPr>
      <t>damage/ton of VOC</t>
    </r>
  </si>
  <si>
    <t>Calculation of Fuel Savings</t>
  </si>
  <si>
    <t>Average diurnal emission factors (in grams of VOC per vehicle per day) assuming that monolayer tanks will be phased out by 2020 (only scenario 3 assumes that all vehicles will be equipped with multilayer tanks from 2015)</t>
  </si>
  <si>
    <t>Benefit/Cost Combinations</t>
  </si>
  <si>
    <t>Business as usual</t>
  </si>
  <si>
    <t>A more aggressive purging strategy is implemented</t>
  </si>
  <si>
    <t xml:space="preserve">A more aggressive purging strategy is implemented + extension of the diurnal test to 48 hours </t>
  </si>
  <si>
    <t>A more aggressive purging strategy is implemented + extension of the diurnal test to 48 hours + durability requirements (better carbon quality only)</t>
  </si>
  <si>
    <t>A more aggressive purging strategy is implemented + extension of the diurnal test to 48 hours + durability requirements (better carbon quality and low permeation material)</t>
  </si>
  <si>
    <t>Scenarios*</t>
  </si>
  <si>
    <t xml:space="preserve">* In Basecase, Scenario 1, 2, 2+ it is assumed that in the period 2015-2021 the share of veichles equipped with monolayer tanks will progressively decrease (35%, 32%, 26%, 19%, 11%, 4%). In Scenario 3 all the vehicles are equipped with multi-layer tanks from 2015. </t>
  </si>
  <si>
    <t>+ PRESENT VALUE OF FUEL SAVED</t>
  </si>
  <si>
    <t xml:space="preserve">PRESENT VALUE OF NET BENEFITS (EMISSION REDUCTION OF NMVOC) FOR EU27 </t>
  </si>
  <si>
    <t>Nominal current values (exlcuding inflation) for Net Benefits in Euro are used. Four different discount rates have been used for sensitivity analysis: 10%, 6%, 3%, 0%</t>
  </si>
  <si>
    <t>Discount rates</t>
  </si>
  <si>
    <t>For scenario 3, it is assumed that all the vehicles will be equipped with multilayer tanks from 2015. The additional cost per vehicle in each year is calculated by multiplying the estimated extra-cost of a multilayer tanks by the % of vehicles still equipped with monolayer tanks. This means that after 2020 there is no additional cost due to multilayer tanks.</t>
  </si>
  <si>
    <t xml:space="preserve">In Basecase, Scenario 1, 2, 2+ it is assumed that in the period 2015-2020 the share of veichles equipped with monolayer tanks will progressively decrease even without new regulatoy measures (35%, 32%, 26%, 19%, 11%, 4%). In Scenario 3 all the vehicles are equipped with multi-layer tanks from 2015. </t>
  </si>
  <si>
    <t>VOC Damage Costs</t>
  </si>
  <si>
    <t xml:space="preserve">Damage costs were calculated for each country by using the low and high damage cost values. </t>
  </si>
  <si>
    <t>A damage cost weighting was cacluated for each EU Member State for year 2015 and 2030</t>
  </si>
  <si>
    <t>To calcuate a weight for each Member State the country emissions  divided by total EU27 emissions.</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</si>
</sst>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43" formatCode="_(* #,##0.00_);_(* \(#,##0.00\);_(* &quot;-&quot;??_);_(@_)"/>
    <numFmt numFmtId="164" formatCode="[$€-1809]#,##0"/>
    <numFmt numFmtId="165" formatCode="[$€-2]\ #,##0"/>
    <numFmt numFmtId="166" formatCode="[$€-2]\ #,##0.00"/>
    <numFmt numFmtId="167" formatCode="[$€-2]\ #,##0_);[Red]\([$€-2]\ #,##0\)"/>
    <numFmt numFmtId="168" formatCode="[$€-2]\ #,##0.0"/>
    <numFmt numFmtId="169" formatCode="0.0"/>
    <numFmt numFmtId="170" formatCode="[$€-410]\ #,##0.00"/>
    <numFmt numFmtId="171" formatCode="[$€-410]\ #,##0"/>
    <numFmt numFmtId="172" formatCode="[$€-2]\ #,##0;[Red][$€-2]\ #,##0"/>
    <numFmt numFmtId="173" formatCode="[$€-2]\ #,##0.00_);[Red]\([$€-2]\ #,##0.00\)"/>
    <numFmt numFmtId="174" formatCode="0.000"/>
    <numFmt numFmtId="175" formatCode="#,##0.00\ [$€-1]"/>
  </numFmts>
  <fonts count="53">
    <font>
      <sz val="11"/>
      <color theme="1"/>
      <name val="Calibri"/>
      <family val="2"/>
      <scheme val="minor"/>
    </font>
    <font>
      <b/>
      <sz val="11"/>
      <color theme="1"/>
      <name val="Calibri"/>
      <family val="2"/>
      <scheme val="minor"/>
    </font>
    <font>
      <b/>
      <sz val="16"/>
      <color theme="1"/>
      <name val="Calibri"/>
      <family val="2"/>
      <scheme val="minor"/>
    </font>
    <font>
      <sz val="12"/>
      <color theme="1"/>
      <name val="Calibri"/>
      <family val="2"/>
      <scheme val="minor"/>
    </font>
    <font>
      <b/>
      <sz val="12"/>
      <color theme="1"/>
      <name val="Calibri"/>
      <family val="2"/>
      <scheme val="minor"/>
    </font>
    <font>
      <b/>
      <sz val="14"/>
      <color theme="1"/>
      <name val="Calibri"/>
      <family val="2"/>
      <scheme val="minor"/>
    </font>
    <font>
      <sz val="11"/>
      <color theme="1"/>
      <name val="Calibri"/>
      <family val="2"/>
      <scheme val="minor"/>
    </font>
    <font>
      <b/>
      <sz val="12"/>
      <color theme="9" tint="0.39997558519241921"/>
      <name val="Calibri"/>
      <family val="2"/>
      <scheme val="minor"/>
    </font>
    <font>
      <sz val="12"/>
      <color theme="9" tint="0.39997558519241921"/>
      <name val="Calibri"/>
      <family val="2"/>
      <scheme val="minor"/>
    </font>
    <font>
      <sz val="11"/>
      <color theme="9" tint="0.39997558519241921"/>
      <name val="Calibri"/>
      <family val="2"/>
      <scheme val="minor"/>
    </font>
    <font>
      <b/>
      <sz val="14"/>
      <name val="Verdana"/>
      <family val="2"/>
    </font>
    <font>
      <b/>
      <sz val="10"/>
      <name val="Verdana"/>
      <family val="2"/>
    </font>
    <font>
      <sz val="14"/>
      <color theme="1"/>
      <name val="Calibri"/>
      <family val="2"/>
      <scheme val="minor"/>
    </font>
    <font>
      <b/>
      <sz val="20"/>
      <color theme="1"/>
      <name val="Calibri"/>
      <family val="2"/>
      <scheme val="minor"/>
    </font>
    <font>
      <b/>
      <sz val="18"/>
      <name val="Verdana"/>
      <family val="2"/>
    </font>
    <font>
      <sz val="14"/>
      <name val="Verdana"/>
      <family val="2"/>
    </font>
    <font>
      <sz val="10"/>
      <name val="Verdana"/>
      <family val="2"/>
    </font>
    <font>
      <b/>
      <sz val="14"/>
      <color theme="1"/>
      <name val="Verdana"/>
      <family val="2"/>
    </font>
    <font>
      <b/>
      <sz val="20"/>
      <name val="Verdana"/>
      <family val="2"/>
    </font>
    <font>
      <sz val="12"/>
      <name val="Verdana"/>
      <family val="2"/>
    </font>
    <font>
      <b/>
      <sz val="14"/>
      <color theme="1"/>
      <name val="Calibri"/>
      <family val="2"/>
      <charset val="161"/>
      <scheme val="minor"/>
    </font>
    <font>
      <b/>
      <sz val="12"/>
      <name val="Verdana"/>
      <family val="2"/>
    </font>
    <font>
      <b/>
      <sz val="12"/>
      <color theme="1"/>
      <name val="Verdana"/>
      <family val="2"/>
    </font>
    <font>
      <sz val="12"/>
      <color theme="1"/>
      <name val="Verdana"/>
      <family val="2"/>
    </font>
    <font>
      <b/>
      <sz val="18"/>
      <color theme="1"/>
      <name val="Calibri"/>
      <family val="2"/>
      <scheme val="minor"/>
    </font>
    <font>
      <b/>
      <sz val="18"/>
      <color theme="1"/>
      <name val="Arial"/>
      <family val="2"/>
    </font>
    <font>
      <sz val="8"/>
      <color theme="1"/>
      <name val="Arial"/>
      <family val="2"/>
    </font>
    <font>
      <b/>
      <sz val="14"/>
      <color theme="1"/>
      <name val="Arial"/>
      <family val="2"/>
    </font>
    <font>
      <sz val="12"/>
      <color theme="1"/>
      <name val="Arial"/>
      <family val="2"/>
    </font>
    <font>
      <sz val="10"/>
      <name val="MS Sans Serif"/>
      <family val="2"/>
      <charset val="161"/>
    </font>
    <font>
      <b/>
      <sz val="12"/>
      <name val="Tahoma"/>
      <family val="2"/>
    </font>
    <font>
      <b/>
      <sz val="24"/>
      <color theme="1"/>
      <name val="Calibri"/>
      <family val="2"/>
      <scheme val="minor"/>
    </font>
    <font>
      <sz val="12"/>
      <color theme="1"/>
      <name val="Times New Roman"/>
      <family val="1"/>
    </font>
    <font>
      <u/>
      <sz val="11"/>
      <color theme="10"/>
      <name val="Calibri"/>
      <family val="2"/>
      <scheme val="minor"/>
    </font>
    <font>
      <sz val="11"/>
      <color theme="1"/>
      <name val="Calibri"/>
      <family val="2"/>
    </font>
    <font>
      <sz val="12"/>
      <name val="Calibri"/>
      <family val="2"/>
      <scheme val="minor"/>
    </font>
    <font>
      <sz val="11"/>
      <name val="Calibri"/>
      <family val="2"/>
      <scheme val="minor"/>
    </font>
    <font>
      <b/>
      <sz val="18"/>
      <color theme="1"/>
      <name val="Calibri"/>
      <family val="2"/>
      <charset val="161"/>
      <scheme val="minor"/>
    </font>
    <font>
      <b/>
      <sz val="12"/>
      <color theme="1"/>
      <name val="Arial Narrow"/>
      <family val="2"/>
    </font>
    <font>
      <b/>
      <sz val="14"/>
      <color theme="1"/>
      <name val="Arial Narrow"/>
      <family val="2"/>
    </font>
    <font>
      <i/>
      <sz val="11"/>
      <color theme="1"/>
      <name val="Calibri"/>
      <family val="2"/>
      <scheme val="minor"/>
    </font>
    <font>
      <b/>
      <sz val="11"/>
      <color rgb="FFC00000"/>
      <name val="Calibri"/>
      <family val="2"/>
      <scheme val="minor"/>
    </font>
    <font>
      <i/>
      <sz val="12"/>
      <color theme="1"/>
      <name val="Calibri"/>
      <family val="2"/>
      <scheme val="minor"/>
    </font>
    <font>
      <b/>
      <i/>
      <sz val="12"/>
      <color theme="1"/>
      <name val="Calibri"/>
      <family val="2"/>
      <scheme val="minor"/>
    </font>
    <font>
      <sz val="9"/>
      <color indexed="81"/>
      <name val="Tahoma"/>
      <family val="2"/>
    </font>
    <font>
      <b/>
      <sz val="9"/>
      <color indexed="81"/>
      <name val="Tahoma"/>
      <family val="2"/>
    </font>
    <font>
      <sz val="10"/>
      <color theme="1"/>
      <name val="Calibri"/>
      <family val="2"/>
      <scheme val="minor"/>
    </font>
    <font>
      <sz val="11"/>
      <color theme="0"/>
      <name val="Calibri"/>
      <family val="2"/>
      <scheme val="minor"/>
    </font>
    <font>
      <b/>
      <sz val="18"/>
      <color theme="0"/>
      <name val="Calibri"/>
      <family val="2"/>
      <scheme val="minor"/>
    </font>
    <font>
      <b/>
      <sz val="11"/>
      <color theme="8" tint="-0.249977111117893"/>
      <name val="Calibri"/>
      <family val="2"/>
      <scheme val="minor"/>
    </font>
    <font>
      <sz val="11"/>
      <color theme="8" tint="-0.249977111117893"/>
      <name val="Calibri"/>
      <family val="2"/>
      <scheme val="minor"/>
    </font>
    <font>
      <b/>
      <i/>
      <sz val="14"/>
      <color theme="1"/>
      <name val="Calibri"/>
      <family val="2"/>
      <scheme val="minor"/>
    </font>
    <font>
      <b/>
      <sz val="18"/>
      <color rgb="FFFF0000"/>
      <name val="Calibri"/>
      <family val="2"/>
      <scheme val="minor"/>
    </font>
  </fonts>
  <fills count="27">
    <fill>
      <patternFill patternType="none"/>
    </fill>
    <fill>
      <patternFill patternType="gray125"/>
    </fill>
    <fill>
      <patternFill patternType="solid">
        <fgColor theme="9" tint="-0.249977111117893"/>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5" tint="0.59999389629810485"/>
        <bgColor indexed="64"/>
      </patternFill>
    </fill>
    <fill>
      <patternFill patternType="solid">
        <fgColor theme="2" tint="-0.249977111117893"/>
        <bgColor indexed="64"/>
      </patternFill>
    </fill>
    <fill>
      <patternFill patternType="solid">
        <fgColor theme="8" tint="0.59999389629810485"/>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rgb="FFFFCC99"/>
        <bgColor indexed="64"/>
      </patternFill>
    </fill>
    <fill>
      <patternFill patternType="solid">
        <fgColor theme="7" tint="0.39997558519241921"/>
        <bgColor indexed="64"/>
      </patternFill>
    </fill>
    <fill>
      <patternFill patternType="solid">
        <fgColor indexed="11"/>
        <bgColor indexed="64"/>
      </patternFill>
    </fill>
    <fill>
      <patternFill patternType="solid">
        <fgColor indexed="43"/>
        <bgColor indexed="64"/>
      </patternFill>
    </fill>
    <fill>
      <patternFill patternType="solid">
        <fgColor rgb="FFFFFF99"/>
        <bgColor indexed="64"/>
      </patternFill>
    </fill>
    <fill>
      <patternFill patternType="solid">
        <fgColor theme="6" tint="0.79998168889431442"/>
        <bgColor indexed="64"/>
      </patternFill>
    </fill>
    <fill>
      <patternFill patternType="solid">
        <fgColor theme="7" tint="0.59999389629810485"/>
        <bgColor indexed="64"/>
      </patternFill>
    </fill>
    <fill>
      <patternFill patternType="solid">
        <fgColor rgb="FFFFCC66"/>
        <bgColor indexed="64"/>
      </patternFill>
    </fill>
    <fill>
      <patternFill patternType="solid">
        <fgColor rgb="FFFFFF66"/>
        <bgColor indexed="64"/>
      </patternFill>
    </fill>
    <fill>
      <patternFill patternType="solid">
        <fgColor theme="6" tint="0.59999389629810485"/>
        <bgColor indexed="64"/>
      </patternFill>
    </fill>
    <fill>
      <patternFill patternType="solid">
        <fgColor theme="6" tint="0.39997558519241921"/>
        <bgColor indexed="64"/>
      </patternFill>
    </fill>
    <fill>
      <patternFill patternType="solid">
        <fgColor theme="9" tint="0.59999389629810485"/>
        <bgColor indexed="64"/>
      </patternFill>
    </fill>
    <fill>
      <patternFill patternType="solid">
        <fgColor rgb="FFCCFF99"/>
        <bgColor indexed="64"/>
      </patternFill>
    </fill>
    <fill>
      <patternFill patternType="solid">
        <fgColor theme="2" tint="-9.9978637043366805E-2"/>
        <bgColor indexed="64"/>
      </patternFill>
    </fill>
    <fill>
      <patternFill patternType="solid">
        <fgColor theme="9" tint="0.79998168889431442"/>
        <bgColor indexed="64"/>
      </patternFill>
    </fill>
    <fill>
      <patternFill patternType="solid">
        <fgColor rgb="FFFF5050"/>
        <bgColor indexed="64"/>
      </patternFill>
    </fill>
    <fill>
      <patternFill patternType="solid">
        <fgColor theme="3" tint="0.79998168889431442"/>
        <bgColor indexed="64"/>
      </patternFill>
    </fill>
  </fills>
  <borders count="71">
    <border>
      <left/>
      <right/>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top style="medium">
        <color indexed="64"/>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bottom/>
      <diagonal/>
    </border>
    <border>
      <left style="thin">
        <color indexed="64"/>
      </left>
      <right/>
      <top/>
      <bottom/>
      <diagonal/>
    </border>
    <border>
      <left style="thin">
        <color indexed="64"/>
      </left>
      <right style="medium">
        <color indexed="64"/>
      </right>
      <top/>
      <bottom style="medium">
        <color indexed="64"/>
      </bottom>
      <diagonal/>
    </border>
  </borders>
  <cellStyleXfs count="4">
    <xf numFmtId="0" fontId="0" fillId="0" borderId="0"/>
    <xf numFmtId="43" fontId="6" fillId="0" borderId="0" applyFont="0" applyFill="0" applyBorder="0" applyAlignment="0" applyProtection="0"/>
    <xf numFmtId="0" fontId="29" fillId="0" borderId="0"/>
    <xf numFmtId="0" fontId="33" fillId="0" borderId="0" applyNumberFormat="0" applyFill="0" applyBorder="0" applyAlignment="0" applyProtection="0"/>
  </cellStyleXfs>
  <cellXfs count="740">
    <xf numFmtId="0" fontId="0" fillId="0" borderId="0" xfId="0"/>
    <xf numFmtId="164" fontId="0" fillId="0" borderId="0" xfId="0" applyNumberFormat="1" applyAlignment="1">
      <alignment horizontal="center"/>
    </xf>
    <xf numFmtId="0" fontId="2" fillId="0" borderId="0" xfId="0" applyFont="1"/>
    <xf numFmtId="2" fontId="0" fillId="0" borderId="0" xfId="0" applyNumberFormat="1" applyAlignment="1">
      <alignment horizontal="center"/>
    </xf>
    <xf numFmtId="0" fontId="10" fillId="0" borderId="0" xfId="0" applyFont="1"/>
    <xf numFmtId="0" fontId="11" fillId="0" borderId="0" xfId="0" applyFont="1"/>
    <xf numFmtId="169" fontId="0" fillId="0" borderId="0" xfId="0" applyNumberFormat="1" applyAlignment="1">
      <alignment horizontal="center"/>
    </xf>
    <xf numFmtId="169" fontId="0" fillId="0" borderId="0" xfId="0" applyNumberFormat="1"/>
    <xf numFmtId="0" fontId="0" fillId="0" borderId="0" xfId="0" applyFill="1" applyBorder="1"/>
    <xf numFmtId="0" fontId="10" fillId="12" borderId="23" xfId="0" applyFont="1" applyFill="1" applyBorder="1" applyAlignment="1">
      <alignment horizontal="center"/>
    </xf>
    <xf numFmtId="0" fontId="10" fillId="12" borderId="24" xfId="0" applyFont="1" applyFill="1" applyBorder="1" applyAlignment="1">
      <alignment horizontal="center"/>
    </xf>
    <xf numFmtId="0" fontId="15" fillId="12" borderId="25" xfId="0" applyFont="1" applyFill="1" applyBorder="1" applyAlignment="1">
      <alignment horizontal="center"/>
    </xf>
    <xf numFmtId="0" fontId="15" fillId="12" borderId="26" xfId="0" applyFont="1" applyFill="1" applyBorder="1" applyAlignment="1">
      <alignment horizontal="center"/>
    </xf>
    <xf numFmtId="0" fontId="15" fillId="0" borderId="0" xfId="0" applyFont="1" applyFill="1" applyBorder="1"/>
    <xf numFmtId="0" fontId="15" fillId="0" borderId="0" xfId="0" applyFont="1"/>
    <xf numFmtId="166" fontId="15" fillId="13" borderId="21" xfId="0" applyNumberFormat="1" applyFont="1" applyFill="1" applyBorder="1" applyAlignment="1">
      <alignment horizontal="center"/>
    </xf>
    <xf numFmtId="0" fontId="15" fillId="0" borderId="29" xfId="0" applyFont="1" applyBorder="1"/>
    <xf numFmtId="0" fontId="16" fillId="0" borderId="0" xfId="0" applyFont="1" applyFill="1" applyBorder="1"/>
    <xf numFmtId="0" fontId="0" fillId="0" borderId="0" xfId="0" applyFont="1" applyFill="1" applyBorder="1"/>
    <xf numFmtId="0" fontId="15" fillId="12" borderId="28" xfId="0" applyFont="1" applyFill="1" applyBorder="1" applyAlignment="1">
      <alignment horizontal="center"/>
    </xf>
    <xf numFmtId="0" fontId="10" fillId="0" borderId="0" xfId="0" applyFont="1" applyFill="1" applyBorder="1"/>
    <xf numFmtId="0" fontId="18" fillId="0" borderId="0" xfId="0" applyFont="1"/>
    <xf numFmtId="0" fontId="18" fillId="0" borderId="0" xfId="0" applyFont="1" applyFill="1" applyBorder="1"/>
    <xf numFmtId="0" fontId="0" fillId="0" borderId="29" xfId="0" applyBorder="1"/>
    <xf numFmtId="0" fontId="19" fillId="0" borderId="0" xfId="0" applyFont="1" applyFill="1" applyBorder="1"/>
    <xf numFmtId="0" fontId="19" fillId="14" borderId="23" xfId="0" applyFont="1" applyFill="1" applyBorder="1"/>
    <xf numFmtId="0" fontId="0" fillId="2" borderId="0" xfId="0" applyFill="1"/>
    <xf numFmtId="0" fontId="0" fillId="14" borderId="0" xfId="0" applyFill="1"/>
    <xf numFmtId="165" fontId="15" fillId="13" borderId="21" xfId="0" applyNumberFormat="1" applyFont="1" applyFill="1" applyBorder="1" applyAlignment="1">
      <alignment horizontal="center"/>
    </xf>
    <xf numFmtId="168" fontId="15" fillId="13" borderId="21" xfId="0" applyNumberFormat="1" applyFont="1" applyFill="1" applyBorder="1" applyAlignment="1">
      <alignment horizontal="center"/>
    </xf>
    <xf numFmtId="0" fontId="0" fillId="0" borderId="0" xfId="0" applyBorder="1"/>
    <xf numFmtId="166" fontId="17" fillId="2" borderId="21" xfId="0" applyNumberFormat="1" applyFont="1" applyFill="1" applyBorder="1" applyAlignment="1">
      <alignment horizontal="center"/>
    </xf>
    <xf numFmtId="0" fontId="0" fillId="0" borderId="0" xfId="0" applyAlignment="1">
      <alignment wrapText="1"/>
    </xf>
    <xf numFmtId="0" fontId="19" fillId="4" borderId="31" xfId="0" applyFont="1" applyFill="1" applyBorder="1"/>
    <xf numFmtId="0" fontId="19" fillId="4" borderId="25" xfId="0" applyFont="1" applyFill="1" applyBorder="1" applyAlignment="1">
      <alignment horizontal="center"/>
    </xf>
    <xf numFmtId="0" fontId="19" fillId="4" borderId="26" xfId="0" applyFont="1" applyFill="1" applyBorder="1" applyAlignment="1">
      <alignment horizontal="center"/>
    </xf>
    <xf numFmtId="166" fontId="19" fillId="4" borderId="21" xfId="0" applyNumberFormat="1" applyFont="1" applyFill="1" applyBorder="1" applyAlignment="1">
      <alignment horizontal="center"/>
    </xf>
    <xf numFmtId="166" fontId="19" fillId="4" borderId="17" xfId="0" applyNumberFormat="1" applyFont="1" applyFill="1" applyBorder="1" applyAlignment="1">
      <alignment horizontal="center"/>
    </xf>
    <xf numFmtId="166" fontId="19" fillId="4" borderId="8" xfId="0" applyNumberFormat="1" applyFont="1" applyFill="1" applyBorder="1" applyAlignment="1">
      <alignment horizontal="center"/>
    </xf>
    <xf numFmtId="0" fontId="21" fillId="4" borderId="10" xfId="0" applyFont="1" applyFill="1" applyBorder="1"/>
    <xf numFmtId="0" fontId="21" fillId="4" borderId="11" xfId="0" applyFont="1" applyFill="1" applyBorder="1" applyAlignment="1">
      <alignment horizontal="center"/>
    </xf>
    <xf numFmtId="0" fontId="21" fillId="4" borderId="33" xfId="0" applyFont="1" applyFill="1" applyBorder="1" applyAlignment="1">
      <alignment horizontal="center"/>
    </xf>
    <xf numFmtId="0" fontId="19" fillId="4" borderId="28" xfId="0" applyFont="1" applyFill="1" applyBorder="1" applyAlignment="1">
      <alignment horizontal="center"/>
    </xf>
    <xf numFmtId="0" fontId="21" fillId="10" borderId="10" xfId="0" applyFont="1" applyFill="1" applyBorder="1"/>
    <xf numFmtId="0" fontId="21" fillId="10" borderId="11" xfId="0" applyFont="1" applyFill="1" applyBorder="1" applyAlignment="1">
      <alignment horizontal="center"/>
    </xf>
    <xf numFmtId="0" fontId="21" fillId="10" borderId="33" xfId="0" applyFont="1" applyFill="1" applyBorder="1" applyAlignment="1">
      <alignment horizontal="center"/>
    </xf>
    <xf numFmtId="0" fontId="19" fillId="10" borderId="31" xfId="0" applyFont="1" applyFill="1" applyBorder="1"/>
    <xf numFmtId="0" fontId="19" fillId="10" borderId="25" xfId="0" applyFont="1" applyFill="1" applyBorder="1" applyAlignment="1">
      <alignment horizontal="center"/>
    </xf>
    <xf numFmtId="0" fontId="19" fillId="10" borderId="26" xfId="0" applyFont="1" applyFill="1" applyBorder="1" applyAlignment="1">
      <alignment horizontal="center"/>
    </xf>
    <xf numFmtId="0" fontId="19" fillId="10" borderId="28" xfId="0" applyFont="1" applyFill="1" applyBorder="1" applyAlignment="1">
      <alignment horizontal="center"/>
    </xf>
    <xf numFmtId="0" fontId="19" fillId="10" borderId="29" xfId="0" applyFont="1" applyFill="1" applyBorder="1" applyAlignment="1">
      <alignment horizontal="center"/>
    </xf>
    <xf numFmtId="0" fontId="19" fillId="10" borderId="39" xfId="0" applyFont="1" applyFill="1" applyBorder="1"/>
    <xf numFmtId="166" fontId="19" fillId="10" borderId="21" xfId="0" applyNumberFormat="1" applyFont="1" applyFill="1" applyBorder="1" applyAlignment="1">
      <alignment horizontal="center"/>
    </xf>
    <xf numFmtId="0" fontId="11" fillId="19" borderId="0" xfId="0" applyFont="1" applyFill="1" applyBorder="1"/>
    <xf numFmtId="0" fontId="11" fillId="19" borderId="0" xfId="0" applyFont="1" applyFill="1"/>
    <xf numFmtId="166" fontId="21" fillId="19" borderId="30" xfId="0" applyNumberFormat="1" applyFont="1" applyFill="1" applyBorder="1" applyAlignment="1">
      <alignment horizontal="center"/>
    </xf>
    <xf numFmtId="0" fontId="10" fillId="19" borderId="0" xfId="0" applyFont="1" applyFill="1" applyBorder="1"/>
    <xf numFmtId="0" fontId="10" fillId="19" borderId="23" xfId="0" applyFont="1" applyFill="1" applyBorder="1"/>
    <xf numFmtId="166" fontId="21" fillId="19" borderId="21" xfId="0" applyNumberFormat="1" applyFont="1" applyFill="1" applyBorder="1" applyAlignment="1">
      <alignment horizontal="center"/>
    </xf>
    <xf numFmtId="0" fontId="19" fillId="4" borderId="11" xfId="0" applyFont="1" applyFill="1" applyBorder="1" applyAlignment="1">
      <alignment horizontal="center"/>
    </xf>
    <xf numFmtId="0" fontId="19" fillId="4" borderId="33" xfId="0" applyFont="1" applyFill="1" applyBorder="1" applyAlignment="1">
      <alignment horizontal="center"/>
    </xf>
    <xf numFmtId="0" fontId="10" fillId="12" borderId="23" xfId="0" applyFont="1" applyFill="1" applyBorder="1"/>
    <xf numFmtId="0" fontId="15" fillId="12" borderId="28" xfId="0" applyFont="1" applyFill="1" applyBorder="1"/>
    <xf numFmtId="0" fontId="17" fillId="2" borderId="17" xfId="0" applyFont="1" applyFill="1" applyBorder="1" applyAlignment="1">
      <alignment horizontal="left"/>
    </xf>
    <xf numFmtId="0" fontId="15" fillId="13" borderId="17" xfId="0" applyFont="1" applyFill="1" applyBorder="1"/>
    <xf numFmtId="49" fontId="15" fillId="13" borderId="17" xfId="0" applyNumberFormat="1" applyFont="1" applyFill="1" applyBorder="1" applyAlignment="1">
      <alignment wrapText="1"/>
    </xf>
    <xf numFmtId="0" fontId="17" fillId="2" borderId="17" xfId="0" applyFont="1" applyFill="1" applyBorder="1"/>
    <xf numFmtId="0" fontId="11" fillId="0" borderId="0" xfId="0" applyFont="1" applyFill="1" applyBorder="1"/>
    <xf numFmtId="166" fontId="19" fillId="4" borderId="27" xfId="0" applyNumberFormat="1" applyFont="1" applyFill="1" applyBorder="1" applyAlignment="1">
      <alignment horizontal="center"/>
    </xf>
    <xf numFmtId="166" fontId="21" fillId="19" borderId="24" xfId="0" applyNumberFormat="1" applyFont="1" applyFill="1" applyBorder="1" applyAlignment="1">
      <alignment horizontal="center"/>
    </xf>
    <xf numFmtId="0" fontId="21" fillId="4" borderId="36" xfId="0" applyFont="1" applyFill="1" applyBorder="1"/>
    <xf numFmtId="0" fontId="19" fillId="4" borderId="52" xfId="0" applyFont="1" applyFill="1" applyBorder="1"/>
    <xf numFmtId="0" fontId="19" fillId="4" borderId="16" xfId="0" applyFont="1" applyFill="1" applyBorder="1"/>
    <xf numFmtId="0" fontId="19" fillId="4" borderId="37" xfId="0" applyFont="1" applyFill="1" applyBorder="1"/>
    <xf numFmtId="0" fontId="21" fillId="19" borderId="53" xfId="0" applyFont="1" applyFill="1" applyBorder="1"/>
    <xf numFmtId="0" fontId="22" fillId="18" borderId="19" xfId="0" applyFont="1" applyFill="1" applyBorder="1" applyAlignment="1">
      <alignment horizontal="left"/>
    </xf>
    <xf numFmtId="0" fontId="21" fillId="10" borderId="36" xfId="0" applyFont="1" applyFill="1" applyBorder="1"/>
    <xf numFmtId="0" fontId="19" fillId="10" borderId="52" xfId="0" applyFont="1" applyFill="1" applyBorder="1"/>
    <xf numFmtId="0" fontId="19" fillId="10" borderId="16" xfId="0" applyFont="1" applyFill="1" applyBorder="1"/>
    <xf numFmtId="0" fontId="19" fillId="10" borderId="37" xfId="0" applyFont="1" applyFill="1" applyBorder="1"/>
    <xf numFmtId="0" fontId="21" fillId="19" borderId="16" xfId="0" applyFont="1" applyFill="1" applyBorder="1" applyAlignment="1">
      <alignment horizontal="left"/>
    </xf>
    <xf numFmtId="0" fontId="22" fillId="18" borderId="16" xfId="0" applyFont="1" applyFill="1" applyBorder="1" applyAlignment="1">
      <alignment horizontal="left"/>
    </xf>
    <xf numFmtId="166" fontId="19" fillId="10" borderId="30" xfId="0" applyNumberFormat="1" applyFont="1" applyFill="1" applyBorder="1" applyAlignment="1">
      <alignment horizontal="center"/>
    </xf>
    <xf numFmtId="0" fontId="19" fillId="10" borderId="49" xfId="0" applyFont="1" applyFill="1" applyBorder="1"/>
    <xf numFmtId="0" fontId="21" fillId="20" borderId="39" xfId="0" applyFont="1" applyFill="1" applyBorder="1"/>
    <xf numFmtId="166" fontId="21" fillId="20" borderId="21" xfId="0" applyNumberFormat="1" applyFont="1" applyFill="1" applyBorder="1" applyAlignment="1">
      <alignment horizontal="center"/>
    </xf>
    <xf numFmtId="166" fontId="21" fillId="20" borderId="17" xfId="0" applyNumberFormat="1" applyFont="1" applyFill="1" applyBorder="1" applyAlignment="1">
      <alignment horizontal="center"/>
    </xf>
    <xf numFmtId="168" fontId="19" fillId="4" borderId="21" xfId="0" applyNumberFormat="1" applyFont="1" applyFill="1" applyBorder="1" applyAlignment="1">
      <alignment horizontal="center"/>
    </xf>
    <xf numFmtId="0" fontId="19" fillId="4" borderId="54" xfId="0" applyFont="1" applyFill="1" applyBorder="1"/>
    <xf numFmtId="49" fontId="19" fillId="4" borderId="54" xfId="0" applyNumberFormat="1" applyFont="1" applyFill="1" applyBorder="1" applyAlignment="1">
      <alignment wrapText="1"/>
    </xf>
    <xf numFmtId="49" fontId="21" fillId="19" borderId="54" xfId="0" applyNumberFormat="1" applyFont="1" applyFill="1" applyBorder="1" applyAlignment="1">
      <alignment wrapText="1"/>
    </xf>
    <xf numFmtId="0" fontId="26" fillId="0" borderId="0" xfId="0" applyFont="1"/>
    <xf numFmtId="0" fontId="0" fillId="0" borderId="0" xfId="0"/>
    <xf numFmtId="0" fontId="5" fillId="3" borderId="11" xfId="0" applyFont="1" applyFill="1" applyBorder="1" applyAlignment="1">
      <alignment horizontal="center"/>
    </xf>
    <xf numFmtId="0" fontId="5" fillId="3" borderId="1" xfId="0" applyFont="1" applyFill="1" applyBorder="1" applyAlignment="1">
      <alignment horizontal="center"/>
    </xf>
    <xf numFmtId="0" fontId="4" fillId="2" borderId="12" xfId="0" applyFont="1" applyFill="1" applyBorder="1" applyAlignment="1">
      <alignment horizontal="left"/>
    </xf>
    <xf numFmtId="0" fontId="4" fillId="2" borderId="0" xfId="0" applyFont="1" applyFill="1" applyBorder="1" applyAlignment="1">
      <alignment horizontal="center"/>
    </xf>
    <xf numFmtId="0" fontId="4" fillId="4" borderId="12" xfId="0" applyFont="1" applyFill="1" applyBorder="1" applyAlignment="1">
      <alignment horizontal="left"/>
    </xf>
    <xf numFmtId="0" fontId="0" fillId="0" borderId="0" xfId="0" applyAlignment="1">
      <alignment horizontal="center"/>
    </xf>
    <xf numFmtId="0" fontId="0" fillId="0" borderId="0" xfId="0" applyFill="1"/>
    <xf numFmtId="0" fontId="4" fillId="7" borderId="12" xfId="0" applyFont="1" applyFill="1" applyBorder="1" applyAlignment="1">
      <alignment horizontal="left"/>
    </xf>
    <xf numFmtId="0" fontId="8" fillId="2" borderId="0" xfId="0" applyFont="1" applyFill="1" applyBorder="1" applyAlignment="1">
      <alignment horizontal="center"/>
    </xf>
    <xf numFmtId="0" fontId="9" fillId="2" borderId="0" xfId="0" applyFont="1" applyFill="1" applyBorder="1"/>
    <xf numFmtId="0" fontId="9" fillId="2" borderId="2" xfId="0" applyFont="1" applyFill="1" applyBorder="1"/>
    <xf numFmtId="0" fontId="0" fillId="0" borderId="22" xfId="0" applyBorder="1"/>
    <xf numFmtId="0" fontId="7" fillId="2" borderId="0" xfId="0" applyFont="1" applyFill="1" applyBorder="1" applyAlignment="1">
      <alignment horizontal="center"/>
    </xf>
    <xf numFmtId="165" fontId="3" fillId="7" borderId="0" xfId="0" applyNumberFormat="1" applyFont="1" applyFill="1" applyBorder="1" applyAlignment="1">
      <alignment horizontal="center"/>
    </xf>
    <xf numFmtId="165" fontId="4" fillId="5" borderId="0" xfId="0" applyNumberFormat="1" applyFont="1" applyFill="1" applyBorder="1" applyAlignment="1">
      <alignment horizontal="center"/>
    </xf>
    <xf numFmtId="0" fontId="5" fillId="0" borderId="0" xfId="0" applyFont="1"/>
    <xf numFmtId="165" fontId="3" fillId="4" borderId="0" xfId="0" applyNumberFormat="1" applyFont="1" applyFill="1" applyBorder="1" applyAlignment="1">
      <alignment horizontal="center"/>
    </xf>
    <xf numFmtId="0" fontId="4" fillId="3" borderId="10" xfId="0" applyFont="1" applyFill="1" applyBorder="1" applyAlignment="1">
      <alignment horizontal="center"/>
    </xf>
    <xf numFmtId="165" fontId="12" fillId="0" borderId="0" xfId="0" applyNumberFormat="1" applyFont="1" applyAlignment="1">
      <alignment horizontal="center"/>
    </xf>
    <xf numFmtId="0" fontId="0" fillId="0" borderId="0" xfId="0" applyFill="1" applyBorder="1"/>
    <xf numFmtId="0" fontId="10" fillId="0" borderId="0" xfId="0" applyFont="1" applyFill="1" applyBorder="1"/>
    <xf numFmtId="0" fontId="0" fillId="0" borderId="0" xfId="0" applyBorder="1"/>
    <xf numFmtId="167" fontId="5" fillId="0" borderId="0" xfId="0" applyNumberFormat="1" applyFont="1" applyFill="1" applyBorder="1"/>
    <xf numFmtId="3" fontId="0" fillId="0" borderId="0" xfId="0" applyNumberFormat="1" applyFill="1" applyAlignment="1">
      <alignment horizontal="center"/>
    </xf>
    <xf numFmtId="0" fontId="0" fillId="0" borderId="0" xfId="0" applyFill="1" applyBorder="1" applyAlignment="1">
      <alignment horizontal="center"/>
    </xf>
    <xf numFmtId="166" fontId="0" fillId="0" borderId="0" xfId="0" applyNumberFormat="1" applyFill="1"/>
    <xf numFmtId="165" fontId="0" fillId="0" borderId="0" xfId="0" applyNumberFormat="1" applyAlignment="1">
      <alignment horizontal="center"/>
    </xf>
    <xf numFmtId="0" fontId="20" fillId="0" borderId="0" xfId="0" applyFont="1"/>
    <xf numFmtId="165" fontId="4" fillId="5" borderId="2" xfId="0" applyNumberFormat="1" applyFont="1" applyFill="1" applyBorder="1" applyAlignment="1">
      <alignment horizontal="center"/>
    </xf>
    <xf numFmtId="3" fontId="0" fillId="0" borderId="0" xfId="0" applyNumberFormat="1"/>
    <xf numFmtId="3" fontId="0" fillId="17" borderId="21" xfId="0" applyNumberFormat="1" applyFill="1" applyBorder="1" applyAlignment="1">
      <alignment horizontal="center"/>
    </xf>
    <xf numFmtId="165" fontId="3" fillId="7" borderId="2" xfId="0" applyNumberFormat="1" applyFont="1" applyFill="1" applyBorder="1" applyAlignment="1">
      <alignment horizontal="center"/>
    </xf>
    <xf numFmtId="0" fontId="19" fillId="4" borderId="31" xfId="0" applyFont="1" applyFill="1" applyBorder="1"/>
    <xf numFmtId="0" fontId="19" fillId="4" borderId="25" xfId="0" applyFont="1" applyFill="1" applyBorder="1" applyAlignment="1">
      <alignment horizontal="center"/>
    </xf>
    <xf numFmtId="0" fontId="19" fillId="4" borderId="26" xfId="0" applyFont="1" applyFill="1" applyBorder="1" applyAlignment="1">
      <alignment horizontal="center"/>
    </xf>
    <xf numFmtId="166" fontId="19" fillId="4" borderId="21" xfId="0" applyNumberFormat="1" applyFont="1" applyFill="1" applyBorder="1" applyAlignment="1">
      <alignment horizontal="center"/>
    </xf>
    <xf numFmtId="0" fontId="21" fillId="4" borderId="10" xfId="0" applyFont="1" applyFill="1" applyBorder="1"/>
    <xf numFmtId="0" fontId="19" fillId="4" borderId="28" xfId="0" applyFont="1" applyFill="1" applyBorder="1" applyAlignment="1">
      <alignment horizontal="center"/>
    </xf>
    <xf numFmtId="166" fontId="21" fillId="19" borderId="21" xfId="0" applyNumberFormat="1" applyFont="1" applyFill="1" applyBorder="1" applyAlignment="1">
      <alignment horizontal="center"/>
    </xf>
    <xf numFmtId="0" fontId="19" fillId="4" borderId="11" xfId="0" applyFont="1" applyFill="1" applyBorder="1" applyAlignment="1">
      <alignment horizontal="center"/>
    </xf>
    <xf numFmtId="0" fontId="19" fillId="4" borderId="33" xfId="0" applyFont="1" applyFill="1" applyBorder="1" applyAlignment="1">
      <alignment horizontal="center"/>
    </xf>
    <xf numFmtId="166" fontId="19" fillId="19" borderId="21" xfId="0" applyNumberFormat="1" applyFont="1" applyFill="1" applyBorder="1" applyAlignment="1">
      <alignment horizontal="center"/>
    </xf>
    <xf numFmtId="165" fontId="19" fillId="4" borderId="21" xfId="0" applyNumberFormat="1" applyFont="1" applyFill="1" applyBorder="1" applyAlignment="1">
      <alignment horizontal="center"/>
    </xf>
    <xf numFmtId="0" fontId="19" fillId="4" borderId="54" xfId="0" applyFont="1" applyFill="1" applyBorder="1"/>
    <xf numFmtId="49" fontId="19" fillId="4" borderId="54" xfId="0" applyNumberFormat="1" applyFont="1" applyFill="1" applyBorder="1" applyAlignment="1">
      <alignment wrapText="1"/>
    </xf>
    <xf numFmtId="49" fontId="21" fillId="19" borderId="54" xfId="0" applyNumberFormat="1" applyFont="1" applyFill="1" applyBorder="1" applyAlignment="1">
      <alignment wrapText="1"/>
    </xf>
    <xf numFmtId="165" fontId="19" fillId="19" borderId="21" xfId="0" applyNumberFormat="1" applyFont="1" applyFill="1" applyBorder="1" applyAlignment="1">
      <alignment horizontal="center"/>
    </xf>
    <xf numFmtId="165" fontId="3" fillId="4" borderId="2" xfId="0" applyNumberFormat="1" applyFont="1" applyFill="1" applyBorder="1" applyAlignment="1">
      <alignment horizontal="center"/>
    </xf>
    <xf numFmtId="0" fontId="0" fillId="17" borderId="16" xfId="0" applyFill="1" applyBorder="1"/>
    <xf numFmtId="0" fontId="0" fillId="17" borderId="19" xfId="0" applyFill="1" applyBorder="1"/>
    <xf numFmtId="3" fontId="0" fillId="17" borderId="45" xfId="0" applyNumberFormat="1" applyFill="1" applyBorder="1" applyAlignment="1">
      <alignment horizontal="center"/>
    </xf>
    <xf numFmtId="3" fontId="0" fillId="17" borderId="48" xfId="0" applyNumberFormat="1" applyFill="1" applyBorder="1" applyAlignment="1">
      <alignment horizontal="center"/>
    </xf>
    <xf numFmtId="3" fontId="0" fillId="17" borderId="51" xfId="0" applyNumberFormat="1" applyFill="1" applyBorder="1" applyAlignment="1">
      <alignment horizontal="center"/>
    </xf>
    <xf numFmtId="0" fontId="0" fillId="17" borderId="13" xfId="0" applyFill="1" applyBorder="1"/>
    <xf numFmtId="0" fontId="1" fillId="9" borderId="41" xfId="0" applyFont="1" applyFill="1" applyBorder="1"/>
    <xf numFmtId="0" fontId="1" fillId="8" borderId="56" xfId="0" applyFont="1" applyFill="1" applyBorder="1" applyAlignment="1">
      <alignment horizontal="left" vertical="center"/>
    </xf>
    <xf numFmtId="0" fontId="0" fillId="6" borderId="16" xfId="0" applyFill="1" applyBorder="1"/>
    <xf numFmtId="0" fontId="0" fillId="6" borderId="19" xfId="0" applyFill="1" applyBorder="1"/>
    <xf numFmtId="0" fontId="0" fillId="8" borderId="16" xfId="0" applyFill="1" applyBorder="1"/>
    <xf numFmtId="0" fontId="0" fillId="8" borderId="19" xfId="0" applyFill="1" applyBorder="1"/>
    <xf numFmtId="0" fontId="0" fillId="19" borderId="59" xfId="0" applyFill="1" applyBorder="1"/>
    <xf numFmtId="0" fontId="0" fillId="19" borderId="54" xfId="0" applyFill="1" applyBorder="1"/>
    <xf numFmtId="0" fontId="0" fillId="19" borderId="47" xfId="0" applyFill="1" applyBorder="1"/>
    <xf numFmtId="166" fontId="0" fillId="19" borderId="55" xfId="0" applyNumberFormat="1" applyFill="1" applyBorder="1" applyAlignment="1">
      <alignment horizontal="center"/>
    </xf>
    <xf numFmtId="166" fontId="0" fillId="19" borderId="45" xfId="0" applyNumberFormat="1" applyFill="1" applyBorder="1" applyAlignment="1">
      <alignment horizontal="center"/>
    </xf>
    <xf numFmtId="166" fontId="0" fillId="19" borderId="51" xfId="0" applyNumberFormat="1" applyFill="1" applyBorder="1" applyAlignment="1">
      <alignment horizontal="center"/>
    </xf>
    <xf numFmtId="0" fontId="1" fillId="19" borderId="56" xfId="0" applyFont="1" applyFill="1" applyBorder="1"/>
    <xf numFmtId="166" fontId="0" fillId="21" borderId="13" xfId="0" applyNumberFormat="1" applyFill="1" applyBorder="1" applyAlignment="1">
      <alignment horizontal="center"/>
    </xf>
    <xf numFmtId="166" fontId="0" fillId="21" borderId="16" xfId="0" applyNumberFormat="1" applyFill="1" applyBorder="1" applyAlignment="1">
      <alignment horizontal="center"/>
    </xf>
    <xf numFmtId="166" fontId="0" fillId="21" borderId="19" xfId="0" applyNumberFormat="1" applyFill="1" applyBorder="1" applyAlignment="1">
      <alignment horizontal="center"/>
    </xf>
    <xf numFmtId="3" fontId="0" fillId="17" borderId="54" xfId="0" applyNumberFormat="1" applyFill="1" applyBorder="1" applyAlignment="1">
      <alignment horizontal="center"/>
    </xf>
    <xf numFmtId="3" fontId="0" fillId="17" borderId="47" xfId="0" applyNumberFormat="1" applyFill="1" applyBorder="1" applyAlignment="1">
      <alignment horizontal="center"/>
    </xf>
    <xf numFmtId="0" fontId="0" fillId="9" borderId="60" xfId="0" applyFill="1" applyBorder="1" applyAlignment="1">
      <alignment horizontal="center"/>
    </xf>
    <xf numFmtId="0" fontId="0" fillId="9" borderId="61" xfId="0" applyFill="1" applyBorder="1" applyAlignment="1">
      <alignment horizontal="center"/>
    </xf>
    <xf numFmtId="0" fontId="0" fillId="9" borderId="62" xfId="0" applyFill="1" applyBorder="1" applyAlignment="1">
      <alignment horizontal="center"/>
    </xf>
    <xf numFmtId="0" fontId="0" fillId="11" borderId="12" xfId="0" applyFill="1" applyBorder="1"/>
    <xf numFmtId="166" fontId="0" fillId="11" borderId="2" xfId="0" applyNumberFormat="1" applyFill="1" applyBorder="1" applyAlignment="1">
      <alignment horizontal="center"/>
    </xf>
    <xf numFmtId="0" fontId="1" fillId="11" borderId="12" xfId="0" applyFont="1" applyFill="1" applyBorder="1"/>
    <xf numFmtId="0" fontId="0" fillId="16" borderId="12" xfId="0" applyFill="1" applyBorder="1"/>
    <xf numFmtId="0" fontId="1" fillId="16" borderId="12" xfId="0" applyFont="1" applyFill="1" applyBorder="1"/>
    <xf numFmtId="0" fontId="0" fillId="11" borderId="18" xfId="0" applyFill="1" applyBorder="1"/>
    <xf numFmtId="0" fontId="0" fillId="16" borderId="10" xfId="0" applyFill="1" applyBorder="1"/>
    <xf numFmtId="0" fontId="0" fillId="16" borderId="18" xfId="0" applyFill="1" applyBorder="1"/>
    <xf numFmtId="166" fontId="0" fillId="16" borderId="12" xfId="0" applyNumberFormat="1" applyFill="1" applyBorder="1" applyAlignment="1">
      <alignment horizontal="center"/>
    </xf>
    <xf numFmtId="166" fontId="0" fillId="5" borderId="12" xfId="0" applyNumberFormat="1" applyFill="1" applyBorder="1" applyAlignment="1">
      <alignment horizontal="center"/>
    </xf>
    <xf numFmtId="166" fontId="0" fillId="5" borderId="18" xfId="0" applyNumberFormat="1" applyFill="1" applyBorder="1" applyAlignment="1">
      <alignment horizontal="center"/>
    </xf>
    <xf numFmtId="166" fontId="0" fillId="5" borderId="10" xfId="0" applyNumberFormat="1" applyFill="1" applyBorder="1" applyAlignment="1">
      <alignment horizontal="center"/>
    </xf>
    <xf numFmtId="166" fontId="0" fillId="11" borderId="3" xfId="0" applyNumberFormat="1" applyFill="1" applyBorder="1" applyAlignment="1">
      <alignment horizontal="center"/>
    </xf>
    <xf numFmtId="0" fontId="0" fillId="0" borderId="0" xfId="0" applyFill="1" applyAlignment="1">
      <alignment horizontal="center"/>
    </xf>
    <xf numFmtId="0" fontId="1" fillId="5" borderId="12" xfId="0" applyFont="1" applyFill="1" applyBorder="1" applyAlignment="1">
      <alignment horizontal="center"/>
    </xf>
    <xf numFmtId="4" fontId="0" fillId="17" borderId="21" xfId="0" applyNumberFormat="1" applyFill="1" applyBorder="1" applyAlignment="1">
      <alignment horizontal="center"/>
    </xf>
    <xf numFmtId="4" fontId="0" fillId="0" borderId="0" xfId="0" applyNumberFormat="1"/>
    <xf numFmtId="4" fontId="0" fillId="6" borderId="17" xfId="0" applyNumberFormat="1" applyFill="1" applyBorder="1" applyAlignment="1">
      <alignment horizontal="center"/>
    </xf>
    <xf numFmtId="4" fontId="0" fillId="6" borderId="46" xfId="0" applyNumberFormat="1" applyFill="1" applyBorder="1" applyAlignment="1">
      <alignment horizontal="center"/>
    </xf>
    <xf numFmtId="4" fontId="0" fillId="6" borderId="40" xfId="0" applyNumberFormat="1" applyFill="1" applyBorder="1" applyAlignment="1">
      <alignment horizontal="center"/>
    </xf>
    <xf numFmtId="4" fontId="0" fillId="6" borderId="58" xfId="0" applyNumberFormat="1" applyFill="1" applyBorder="1" applyAlignment="1">
      <alignment horizontal="center"/>
    </xf>
    <xf numFmtId="4" fontId="0" fillId="9" borderId="43" xfId="0" applyNumberFormat="1" applyFill="1" applyBorder="1"/>
    <xf numFmtId="4" fontId="0" fillId="8" borderId="17" xfId="0" applyNumberFormat="1" applyFill="1" applyBorder="1" applyAlignment="1">
      <alignment horizontal="center"/>
    </xf>
    <xf numFmtId="166" fontId="0" fillId="8" borderId="17" xfId="0" applyNumberFormat="1" applyFill="1" applyBorder="1" applyAlignment="1">
      <alignment horizontal="center"/>
    </xf>
    <xf numFmtId="0" fontId="3" fillId="0" borderId="0" xfId="0" applyFont="1"/>
    <xf numFmtId="3" fontId="0" fillId="0" borderId="0" xfId="0" applyNumberFormat="1" applyFill="1" applyBorder="1" applyAlignment="1">
      <alignment horizontal="center"/>
    </xf>
    <xf numFmtId="1" fontId="0" fillId="9" borderId="15" xfId="0" applyNumberFormat="1" applyFill="1" applyBorder="1" applyAlignment="1">
      <alignment horizontal="center"/>
    </xf>
    <xf numFmtId="1" fontId="0" fillId="9" borderId="55" xfId="0" applyNumberFormat="1" applyFill="1" applyBorder="1" applyAlignment="1">
      <alignment horizontal="center"/>
    </xf>
    <xf numFmtId="170" fontId="0" fillId="0" borderId="0" xfId="0" applyNumberFormat="1"/>
    <xf numFmtId="0" fontId="0" fillId="14" borderId="11" xfId="0" applyFill="1" applyBorder="1"/>
    <xf numFmtId="0" fontId="0" fillId="14" borderId="1" xfId="0" applyFill="1" applyBorder="1"/>
    <xf numFmtId="0" fontId="0" fillId="14" borderId="12" xfId="0" applyFill="1" applyBorder="1"/>
    <xf numFmtId="0" fontId="0" fillId="14" borderId="0" xfId="0" applyFill="1" applyBorder="1"/>
    <xf numFmtId="0" fontId="0" fillId="14" borderId="2" xfId="0" applyFill="1" applyBorder="1"/>
    <xf numFmtId="0" fontId="4" fillId="14" borderId="12" xfId="0" applyFont="1" applyFill="1" applyBorder="1"/>
    <xf numFmtId="0" fontId="0" fillId="14" borderId="18" xfId="0" applyFill="1" applyBorder="1"/>
    <xf numFmtId="0" fontId="0" fillId="14" borderId="22" xfId="0" applyFill="1" applyBorder="1"/>
    <xf numFmtId="0" fontId="0" fillId="14" borderId="3" xfId="0" applyFill="1" applyBorder="1"/>
    <xf numFmtId="0" fontId="33" fillId="14" borderId="0" xfId="3" applyFill="1" applyBorder="1"/>
    <xf numFmtId="0" fontId="34" fillId="14" borderId="12" xfId="0" applyFont="1" applyFill="1" applyBorder="1"/>
    <xf numFmtId="0" fontId="32" fillId="14" borderId="0" xfId="0" applyFont="1" applyFill="1" applyBorder="1"/>
    <xf numFmtId="0" fontId="5" fillId="14" borderId="12" xfId="0" applyFont="1" applyFill="1" applyBorder="1"/>
    <xf numFmtId="0" fontId="3" fillId="14" borderId="12" xfId="0" applyFont="1" applyFill="1" applyBorder="1"/>
    <xf numFmtId="0" fontId="3" fillId="14" borderId="0" xfId="0" applyFont="1" applyFill="1" applyBorder="1"/>
    <xf numFmtId="0" fontId="3" fillId="14" borderId="2" xfId="0" applyFont="1" applyFill="1" applyBorder="1"/>
    <xf numFmtId="0" fontId="0" fillId="14" borderId="10" xfId="0" applyFill="1" applyBorder="1"/>
    <xf numFmtId="0" fontId="13" fillId="0" borderId="0" xfId="0" applyFont="1" applyFill="1"/>
    <xf numFmtId="0" fontId="13" fillId="0" borderId="0" xfId="0" applyFont="1" applyFill="1" applyAlignment="1">
      <alignment horizontal="center"/>
    </xf>
    <xf numFmtId="165" fontId="3" fillId="0" borderId="0" xfId="0" applyNumberFormat="1" applyFont="1" applyFill="1" applyBorder="1" applyAlignment="1">
      <alignment horizontal="center"/>
    </xf>
    <xf numFmtId="3" fontId="0" fillId="14" borderId="11" xfId="0" applyNumberFormat="1" applyFill="1" applyBorder="1" applyAlignment="1">
      <alignment horizontal="center"/>
    </xf>
    <xf numFmtId="0" fontId="35" fillId="14" borderId="0" xfId="0" applyFont="1" applyFill="1" applyBorder="1"/>
    <xf numFmtId="0" fontId="36" fillId="14" borderId="0" xfId="0" applyFont="1" applyFill="1" applyBorder="1"/>
    <xf numFmtId="0" fontId="0" fillId="22" borderId="43" xfId="0" applyFill="1" applyBorder="1"/>
    <xf numFmtId="166" fontId="1" fillId="22" borderId="41" xfId="0" applyNumberFormat="1" applyFont="1" applyFill="1" applyBorder="1"/>
    <xf numFmtId="0" fontId="1" fillId="22" borderId="42" xfId="0" applyFont="1" applyFill="1" applyBorder="1"/>
    <xf numFmtId="0" fontId="1" fillId="22" borderId="43" xfId="0" applyFont="1" applyFill="1" applyBorder="1"/>
    <xf numFmtId="166" fontId="0" fillId="22" borderId="42" xfId="0" applyNumberFormat="1" applyFill="1" applyBorder="1"/>
    <xf numFmtId="0" fontId="1" fillId="22" borderId="41" xfId="0" applyFont="1" applyFill="1" applyBorder="1"/>
    <xf numFmtId="167" fontId="5" fillId="14" borderId="22" xfId="0" applyNumberFormat="1" applyFont="1" applyFill="1" applyBorder="1"/>
    <xf numFmtId="0" fontId="20" fillId="14" borderId="10" xfId="0" applyFont="1" applyFill="1" applyBorder="1"/>
    <xf numFmtId="0" fontId="0" fillId="0" borderId="0" xfId="0" applyFill="1" applyBorder="1" applyAlignment="1">
      <alignment horizontal="center" vertical="center"/>
    </xf>
    <xf numFmtId="0" fontId="0" fillId="14" borderId="10" xfId="0" applyFill="1" applyBorder="1" applyAlignment="1">
      <alignment horizontal="center" vertical="center"/>
    </xf>
    <xf numFmtId="3" fontId="0" fillId="14" borderId="1" xfId="0" applyNumberFormat="1" applyFill="1" applyBorder="1" applyAlignment="1">
      <alignment horizontal="center"/>
    </xf>
    <xf numFmtId="0" fontId="20" fillId="14" borderId="12" xfId="0" applyFont="1" applyFill="1" applyBorder="1"/>
    <xf numFmtId="0" fontId="5" fillId="14" borderId="0" xfId="0" applyFont="1" applyFill="1" applyBorder="1"/>
    <xf numFmtId="0" fontId="1" fillId="14" borderId="12" xfId="0" applyFont="1" applyFill="1" applyBorder="1"/>
    <xf numFmtId="0" fontId="24" fillId="14" borderId="12" xfId="0" applyFont="1" applyFill="1" applyBorder="1"/>
    <xf numFmtId="0" fontId="13" fillId="14" borderId="12" xfId="0" applyFont="1" applyFill="1" applyBorder="1"/>
    <xf numFmtId="0" fontId="1" fillId="9" borderId="56" xfId="0" applyFont="1" applyFill="1" applyBorder="1"/>
    <xf numFmtId="0" fontId="1" fillId="7" borderId="1" xfId="0" applyFont="1" applyFill="1" applyBorder="1"/>
    <xf numFmtId="9" fontId="0" fillId="7" borderId="18" xfId="0" applyNumberFormat="1" applyFill="1" applyBorder="1" applyAlignment="1">
      <alignment horizontal="center"/>
    </xf>
    <xf numFmtId="9" fontId="0" fillId="7" borderId="22" xfId="0" applyNumberFormat="1" applyFill="1" applyBorder="1" applyAlignment="1">
      <alignment horizontal="center"/>
    </xf>
    <xf numFmtId="9" fontId="0" fillId="7" borderId="3" xfId="0" applyNumberFormat="1" applyFill="1" applyBorder="1" applyAlignment="1">
      <alignment horizontal="center"/>
    </xf>
    <xf numFmtId="0" fontId="0" fillId="7" borderId="10" xfId="0" applyFill="1" applyBorder="1"/>
    <xf numFmtId="165" fontId="0" fillId="7" borderId="21" xfId="0" applyNumberFormat="1" applyFill="1" applyBorder="1" applyAlignment="1">
      <alignment horizontal="center"/>
    </xf>
    <xf numFmtId="165" fontId="0" fillId="7" borderId="15" xfId="0" applyNumberFormat="1" applyFill="1" applyBorder="1" applyAlignment="1">
      <alignment horizontal="center"/>
    </xf>
    <xf numFmtId="165" fontId="0" fillId="7" borderId="45" xfId="0" applyNumberFormat="1" applyFill="1" applyBorder="1" applyAlignment="1">
      <alignment horizontal="center"/>
    </xf>
    <xf numFmtId="165" fontId="0" fillId="7" borderId="48" xfId="0" applyNumberFormat="1" applyFill="1" applyBorder="1" applyAlignment="1">
      <alignment horizontal="center"/>
    </xf>
    <xf numFmtId="165" fontId="0" fillId="7" borderId="51" xfId="0" applyNumberFormat="1" applyFill="1" applyBorder="1" applyAlignment="1">
      <alignment horizontal="center"/>
    </xf>
    <xf numFmtId="0" fontId="0" fillId="0" borderId="0" xfId="0" applyFont="1"/>
    <xf numFmtId="0" fontId="0" fillId="14" borderId="0" xfId="0" applyFont="1" applyFill="1" applyBorder="1"/>
    <xf numFmtId="0" fontId="0" fillId="14" borderId="2" xfId="0" applyFont="1" applyFill="1" applyBorder="1"/>
    <xf numFmtId="171" fontId="0" fillId="0" borderId="0" xfId="0" applyNumberFormat="1" applyFill="1" applyBorder="1" applyAlignment="1">
      <alignment horizontal="center"/>
    </xf>
    <xf numFmtId="0" fontId="3" fillId="14" borderId="12" xfId="0" applyFont="1" applyFill="1" applyBorder="1" applyAlignment="1">
      <alignment horizontal="left" vertical="center" readingOrder="1"/>
    </xf>
    <xf numFmtId="165" fontId="0" fillId="7" borderId="17" xfId="0" applyNumberFormat="1" applyFill="1" applyBorder="1" applyAlignment="1">
      <alignment horizontal="center"/>
    </xf>
    <xf numFmtId="165" fontId="0" fillId="7" borderId="25" xfId="0" applyNumberFormat="1" applyFill="1" applyBorder="1" applyAlignment="1">
      <alignment horizontal="center"/>
    </xf>
    <xf numFmtId="165" fontId="0" fillId="7" borderId="44" xfId="0" applyNumberFormat="1" applyFill="1" applyBorder="1" applyAlignment="1">
      <alignment horizontal="center"/>
    </xf>
    <xf numFmtId="0" fontId="1" fillId="7" borderId="11" xfId="0" applyFont="1" applyFill="1" applyBorder="1" applyAlignment="1"/>
    <xf numFmtId="0" fontId="0" fillId="0" borderId="13" xfId="0" applyFill="1" applyBorder="1"/>
    <xf numFmtId="0" fontId="0" fillId="0" borderId="16" xfId="0" applyFill="1" applyBorder="1"/>
    <xf numFmtId="0" fontId="0" fillId="0" borderId="19" xfId="0" applyFill="1" applyBorder="1"/>
    <xf numFmtId="165" fontId="0" fillId="7" borderId="28" xfId="0" applyNumberFormat="1" applyFill="1" applyBorder="1" applyAlignment="1">
      <alignment horizontal="center"/>
    </xf>
    <xf numFmtId="0" fontId="1" fillId="0" borderId="13" xfId="0" applyFont="1" applyFill="1" applyBorder="1" applyAlignment="1">
      <alignment horizontal="left" vertical="center"/>
    </xf>
    <xf numFmtId="0" fontId="1" fillId="9" borderId="10" xfId="0" applyFont="1" applyFill="1" applyBorder="1"/>
    <xf numFmtId="4" fontId="0" fillId="9" borderId="1" xfId="0" applyNumberFormat="1" applyFill="1" applyBorder="1"/>
    <xf numFmtId="171" fontId="0" fillId="4" borderId="21" xfId="0" applyNumberFormat="1" applyFill="1" applyBorder="1" applyAlignment="1">
      <alignment horizontal="center"/>
    </xf>
    <xf numFmtId="0" fontId="1" fillId="0" borderId="59" xfId="0" applyFont="1" applyFill="1" applyBorder="1" applyAlignment="1">
      <alignment horizontal="left" vertical="center"/>
    </xf>
    <xf numFmtId="0" fontId="0" fillId="0" borderId="54" xfId="0" applyFill="1" applyBorder="1"/>
    <xf numFmtId="171" fontId="0" fillId="4" borderId="45" xfId="0" applyNumberFormat="1" applyFill="1" applyBorder="1" applyAlignment="1">
      <alignment horizontal="center"/>
    </xf>
    <xf numFmtId="0" fontId="0" fillId="0" borderId="47" xfId="0" applyFill="1" applyBorder="1"/>
    <xf numFmtId="171" fontId="0" fillId="4" borderId="48" xfId="0" applyNumberFormat="1" applyFill="1" applyBorder="1" applyAlignment="1">
      <alignment horizontal="center"/>
    </xf>
    <xf numFmtId="171" fontId="0" fillId="4" borderId="51" xfId="0" applyNumberFormat="1" applyFill="1" applyBorder="1" applyAlignment="1">
      <alignment horizontal="center"/>
    </xf>
    <xf numFmtId="1" fontId="0" fillId="4" borderId="21" xfId="0" applyNumberFormat="1" applyFill="1" applyBorder="1" applyAlignment="1">
      <alignment horizontal="center"/>
    </xf>
    <xf numFmtId="1" fontId="0" fillId="4" borderId="45" xfId="0" applyNumberFormat="1" applyFill="1" applyBorder="1" applyAlignment="1">
      <alignment horizontal="center"/>
    </xf>
    <xf numFmtId="1" fontId="0" fillId="4" borderId="48" xfId="0" applyNumberFormat="1" applyFill="1" applyBorder="1" applyAlignment="1">
      <alignment horizontal="center"/>
    </xf>
    <xf numFmtId="1" fontId="0" fillId="4" borderId="51" xfId="0" applyNumberFormat="1" applyFill="1" applyBorder="1" applyAlignment="1">
      <alignment horizontal="center"/>
    </xf>
    <xf numFmtId="0" fontId="0" fillId="0" borderId="65" xfId="0" applyFill="1" applyBorder="1"/>
    <xf numFmtId="0" fontId="0" fillId="0" borderId="39" xfId="0" applyFill="1" applyBorder="1"/>
    <xf numFmtId="0" fontId="0" fillId="0" borderId="66" xfId="0" applyFill="1" applyBorder="1"/>
    <xf numFmtId="1" fontId="0" fillId="16" borderId="16" xfId="0" applyNumberFormat="1" applyFill="1" applyBorder="1" applyAlignment="1">
      <alignment horizontal="center"/>
    </xf>
    <xf numFmtId="1" fontId="0" fillId="16" borderId="19" xfId="0" applyNumberFormat="1" applyFill="1" applyBorder="1" applyAlignment="1">
      <alignment horizontal="center"/>
    </xf>
    <xf numFmtId="1" fontId="0" fillId="16" borderId="52" xfId="0" applyNumberFormat="1" applyFill="1" applyBorder="1" applyAlignment="1">
      <alignment horizontal="center"/>
    </xf>
    <xf numFmtId="49" fontId="1" fillId="16" borderId="36" xfId="0" applyNumberFormat="1" applyFont="1" applyFill="1" applyBorder="1" applyAlignment="1">
      <alignment horizontal="center" wrapText="1"/>
    </xf>
    <xf numFmtId="9" fontId="0" fillId="16" borderId="38" xfId="0" applyNumberFormat="1" applyFill="1" applyBorder="1" applyAlignment="1">
      <alignment horizontal="center"/>
    </xf>
    <xf numFmtId="0" fontId="0" fillId="14" borderId="42" xfId="0" applyFill="1" applyBorder="1"/>
    <xf numFmtId="0" fontId="0" fillId="14" borderId="43" xfId="0" applyFill="1" applyBorder="1"/>
    <xf numFmtId="165" fontId="3" fillId="14" borderId="42" xfId="0" applyNumberFormat="1" applyFont="1" applyFill="1" applyBorder="1" applyAlignment="1">
      <alignment horizontal="center"/>
    </xf>
    <xf numFmtId="0" fontId="24" fillId="14" borderId="41" xfId="0" applyFont="1" applyFill="1" applyBorder="1"/>
    <xf numFmtId="0" fontId="24" fillId="14" borderId="42" xfId="0" applyFont="1" applyFill="1" applyBorder="1" applyAlignment="1">
      <alignment horizontal="center"/>
    </xf>
    <xf numFmtId="166" fontId="0" fillId="7" borderId="21" xfId="0" applyNumberFormat="1" applyFill="1" applyBorder="1" applyAlignment="1">
      <alignment horizontal="center"/>
    </xf>
    <xf numFmtId="166" fontId="0" fillId="7" borderId="59" xfId="0" applyNumberFormat="1" applyFill="1" applyBorder="1" applyAlignment="1">
      <alignment horizontal="center"/>
    </xf>
    <xf numFmtId="166" fontId="0" fillId="7" borderId="15" xfId="0" applyNumberFormat="1" applyFill="1" applyBorder="1" applyAlignment="1">
      <alignment horizontal="center"/>
    </xf>
    <xf numFmtId="166" fontId="0" fillId="7" borderId="55" xfId="0" applyNumberFormat="1" applyFill="1" applyBorder="1" applyAlignment="1">
      <alignment horizontal="center"/>
    </xf>
    <xf numFmtId="166" fontId="0" fillId="7" borderId="54" xfId="0" applyNumberFormat="1" applyFill="1" applyBorder="1" applyAlignment="1">
      <alignment horizontal="center"/>
    </xf>
    <xf numFmtId="166" fontId="0" fillId="7" borderId="45" xfId="0" applyNumberFormat="1" applyFill="1" applyBorder="1" applyAlignment="1">
      <alignment horizontal="center"/>
    </xf>
    <xf numFmtId="166" fontId="0" fillId="7" borderId="47" xfId="0" applyNumberFormat="1" applyFill="1" applyBorder="1" applyAlignment="1">
      <alignment horizontal="center"/>
    </xf>
    <xf numFmtId="166" fontId="0" fillId="7" borderId="48" xfId="0" applyNumberFormat="1" applyFill="1" applyBorder="1" applyAlignment="1">
      <alignment horizontal="center"/>
    </xf>
    <xf numFmtId="166" fontId="0" fillId="7" borderId="51" xfId="0" applyNumberFormat="1" applyFill="1" applyBorder="1" applyAlignment="1">
      <alignment horizontal="center"/>
    </xf>
    <xf numFmtId="165" fontId="0" fillId="0" borderId="0" xfId="0" applyNumberFormat="1" applyFill="1" applyBorder="1" applyAlignment="1">
      <alignment horizontal="center"/>
    </xf>
    <xf numFmtId="0" fontId="27" fillId="14" borderId="41" xfId="0" applyFont="1" applyFill="1" applyBorder="1"/>
    <xf numFmtId="0" fontId="26" fillId="14" borderId="42" xfId="0" applyFont="1" applyFill="1" applyBorder="1"/>
    <xf numFmtId="0" fontId="26" fillId="14" borderId="43" xfId="0" applyFont="1" applyFill="1" applyBorder="1"/>
    <xf numFmtId="0" fontId="14" fillId="14" borderId="41" xfId="0" applyFont="1" applyFill="1" applyBorder="1"/>
    <xf numFmtId="0" fontId="14" fillId="14" borderId="0" xfId="0" applyFont="1" applyFill="1" applyBorder="1"/>
    <xf numFmtId="0" fontId="1" fillId="4" borderId="4" xfId="0" applyFont="1" applyFill="1" applyBorder="1"/>
    <xf numFmtId="164" fontId="1" fillId="4" borderId="7" xfId="0" applyNumberFormat="1" applyFont="1" applyFill="1" applyBorder="1" applyAlignment="1">
      <alignment horizontal="center"/>
    </xf>
    <xf numFmtId="0" fontId="1" fillId="4" borderId="7" xfId="0" applyFont="1" applyFill="1" applyBorder="1" applyAlignment="1">
      <alignment horizontal="center"/>
    </xf>
    <xf numFmtId="0" fontId="1" fillId="4" borderId="1" xfId="0" applyFont="1" applyFill="1" applyBorder="1" applyAlignment="1">
      <alignment horizontal="center"/>
    </xf>
    <xf numFmtId="0" fontId="1" fillId="4" borderId="5" xfId="0" applyFont="1" applyFill="1" applyBorder="1"/>
    <xf numFmtId="164" fontId="1" fillId="4" borderId="8" xfId="0" applyNumberFormat="1" applyFont="1" applyFill="1" applyBorder="1" applyAlignment="1">
      <alignment horizontal="center"/>
    </xf>
    <xf numFmtId="0" fontId="1" fillId="4" borderId="8" xfId="0" applyFont="1" applyFill="1" applyBorder="1" applyAlignment="1">
      <alignment horizontal="center"/>
    </xf>
    <xf numFmtId="0" fontId="1" fillId="4" borderId="2" xfId="0" applyFont="1" applyFill="1" applyBorder="1" applyAlignment="1">
      <alignment horizontal="center"/>
    </xf>
    <xf numFmtId="0" fontId="1" fillId="4" borderId="6" xfId="0" applyFont="1" applyFill="1" applyBorder="1"/>
    <xf numFmtId="164" fontId="1" fillId="4" borderId="9" xfId="0" applyNumberFormat="1" applyFont="1" applyFill="1" applyBorder="1" applyAlignment="1">
      <alignment horizontal="center"/>
    </xf>
    <xf numFmtId="0" fontId="1" fillId="4" borderId="9" xfId="0" applyFont="1" applyFill="1" applyBorder="1" applyAlignment="1">
      <alignment horizontal="center"/>
    </xf>
    <xf numFmtId="0" fontId="1" fillId="4" borderId="3" xfId="0" applyFont="1" applyFill="1" applyBorder="1" applyAlignment="1">
      <alignment horizontal="center"/>
    </xf>
    <xf numFmtId="0" fontId="0" fillId="4" borderId="5" xfId="0" applyFill="1" applyBorder="1"/>
    <xf numFmtId="165" fontId="0" fillId="4" borderId="8" xfId="0" applyNumberFormat="1" applyFill="1" applyBorder="1" applyAlignment="1">
      <alignment horizontal="center"/>
    </xf>
    <xf numFmtId="165" fontId="0" fillId="4" borderId="2" xfId="0" applyNumberFormat="1" applyFill="1" applyBorder="1" applyAlignment="1">
      <alignment horizontal="center"/>
    </xf>
    <xf numFmtId="164" fontId="0" fillId="4" borderId="8" xfId="0" applyNumberFormat="1" applyFill="1" applyBorder="1" applyAlignment="1">
      <alignment horizontal="center"/>
    </xf>
    <xf numFmtId="0" fontId="0" fillId="4" borderId="8" xfId="0" applyFill="1" applyBorder="1"/>
    <xf numFmtId="0" fontId="0" fillId="4" borderId="6" xfId="0" applyFill="1" applyBorder="1"/>
    <xf numFmtId="164" fontId="0" fillId="4" borderId="9" xfId="0" applyNumberFormat="1" applyFill="1" applyBorder="1" applyAlignment="1">
      <alignment horizontal="center"/>
    </xf>
    <xf numFmtId="165" fontId="0" fillId="4" borderId="9" xfId="0" applyNumberFormat="1" applyFill="1" applyBorder="1" applyAlignment="1">
      <alignment horizontal="center"/>
    </xf>
    <xf numFmtId="0" fontId="28" fillId="8" borderId="56" xfId="0" applyFont="1" applyFill="1" applyBorder="1"/>
    <xf numFmtId="1" fontId="30" fillId="8" borderId="64" xfId="2" quotePrefix="1" applyNumberFormat="1" applyFont="1" applyFill="1" applyBorder="1" applyAlignment="1">
      <alignment horizontal="center"/>
    </xf>
    <xf numFmtId="1" fontId="30" fillId="8" borderId="61" xfId="2" quotePrefix="1" applyNumberFormat="1" applyFont="1" applyFill="1" applyBorder="1" applyAlignment="1">
      <alignment horizontal="center"/>
    </xf>
    <xf numFmtId="1" fontId="30" fillId="8" borderId="62" xfId="2" quotePrefix="1" applyNumberFormat="1" applyFont="1" applyFill="1" applyBorder="1" applyAlignment="1">
      <alignment horizontal="center"/>
    </xf>
    <xf numFmtId="0" fontId="28" fillId="8" borderId="52" xfId="0" applyFont="1" applyFill="1" applyBorder="1"/>
    <xf numFmtId="0" fontId="28" fillId="8" borderId="16" xfId="0" applyFont="1" applyFill="1" applyBorder="1"/>
    <xf numFmtId="0" fontId="28" fillId="8" borderId="19" xfId="0" applyFont="1" applyFill="1" applyBorder="1"/>
    <xf numFmtId="0" fontId="28" fillId="8" borderId="60" xfId="0" applyFont="1" applyFill="1" applyBorder="1" applyAlignment="1">
      <alignment horizontal="center"/>
    </xf>
    <xf numFmtId="3" fontId="0" fillId="8" borderId="61" xfId="0" applyNumberFormat="1" applyFill="1" applyBorder="1" applyAlignment="1">
      <alignment horizontal="center"/>
    </xf>
    <xf numFmtId="3" fontId="0" fillId="8" borderId="62" xfId="0" applyNumberFormat="1" applyFill="1" applyBorder="1" applyAlignment="1">
      <alignment horizontal="center"/>
    </xf>
    <xf numFmtId="3" fontId="0" fillId="23" borderId="28" xfId="0" applyNumberFormat="1" applyFill="1" applyBorder="1" applyAlignment="1">
      <alignment horizontal="center"/>
    </xf>
    <xf numFmtId="3" fontId="0" fillId="23" borderId="25" xfId="0" applyNumberFormat="1" applyFill="1" applyBorder="1" applyAlignment="1">
      <alignment horizontal="center"/>
    </xf>
    <xf numFmtId="3" fontId="0" fillId="23" borderId="44" xfId="0" applyNumberFormat="1" applyFill="1" applyBorder="1" applyAlignment="1">
      <alignment horizontal="center"/>
    </xf>
    <xf numFmtId="3" fontId="0" fillId="23" borderId="17" xfId="0" applyNumberFormat="1" applyFill="1" applyBorder="1" applyAlignment="1">
      <alignment horizontal="center"/>
    </xf>
    <xf numFmtId="3" fontId="0" fillId="23" borderId="21" xfId="0" applyNumberFormat="1" applyFill="1" applyBorder="1" applyAlignment="1">
      <alignment horizontal="center"/>
    </xf>
    <xf numFmtId="3" fontId="0" fillId="23" borderId="45" xfId="0" applyNumberFormat="1" applyFill="1" applyBorder="1" applyAlignment="1">
      <alignment horizontal="center"/>
    </xf>
    <xf numFmtId="3" fontId="0" fillId="23" borderId="40" xfId="0" applyNumberFormat="1" applyFill="1" applyBorder="1" applyAlignment="1">
      <alignment horizontal="center"/>
    </xf>
    <xf numFmtId="3" fontId="0" fillId="23" borderId="48" xfId="0" applyNumberFormat="1" applyFill="1" applyBorder="1" applyAlignment="1">
      <alignment horizontal="center"/>
    </xf>
    <xf numFmtId="3" fontId="0" fillId="23" borderId="51" xfId="0" applyNumberFormat="1" applyFill="1" applyBorder="1" applyAlignment="1">
      <alignment horizontal="center"/>
    </xf>
    <xf numFmtId="0" fontId="0" fillId="0" borderId="36" xfId="0" applyFill="1" applyBorder="1"/>
    <xf numFmtId="0" fontId="0" fillId="19" borderId="42" xfId="0" applyFill="1" applyBorder="1"/>
    <xf numFmtId="0" fontId="0" fillId="19" borderId="43" xfId="0" applyFill="1" applyBorder="1"/>
    <xf numFmtId="0" fontId="1" fillId="0" borderId="13" xfId="0" applyFont="1" applyFill="1" applyBorder="1"/>
    <xf numFmtId="9" fontId="0" fillId="0" borderId="0" xfId="0" applyNumberFormat="1" applyAlignment="1">
      <alignment horizontal="center"/>
    </xf>
    <xf numFmtId="166" fontId="0" fillId="19" borderId="21" xfId="0" applyNumberFormat="1" applyFill="1" applyBorder="1" applyAlignment="1">
      <alignment horizontal="center"/>
    </xf>
    <xf numFmtId="166" fontId="0" fillId="19" borderId="59" xfId="0" applyNumberFormat="1" applyFill="1" applyBorder="1" applyAlignment="1">
      <alignment horizontal="center"/>
    </xf>
    <xf numFmtId="166" fontId="0" fillId="19" borderId="15" xfId="0" applyNumberFormat="1" applyFill="1" applyBorder="1" applyAlignment="1">
      <alignment horizontal="center"/>
    </xf>
    <xf numFmtId="166" fontId="0" fillId="19" borderId="54" xfId="0" applyNumberFormat="1" applyFill="1" applyBorder="1" applyAlignment="1">
      <alignment horizontal="center"/>
    </xf>
    <xf numFmtId="166" fontId="0" fillId="19" borderId="47" xfId="0" applyNumberFormat="1" applyFill="1" applyBorder="1" applyAlignment="1">
      <alignment horizontal="center"/>
    </xf>
    <xf numFmtId="166" fontId="0" fillId="19" borderId="48" xfId="0" applyNumberFormat="1" applyFill="1" applyBorder="1" applyAlignment="1">
      <alignment horizontal="center"/>
    </xf>
    <xf numFmtId="4" fontId="0" fillId="8" borderId="54" xfId="0" applyNumberFormat="1" applyFill="1" applyBorder="1" applyAlignment="1">
      <alignment horizontal="center"/>
    </xf>
    <xf numFmtId="4" fontId="0" fillId="8" borderId="46" xfId="0" applyNumberFormat="1" applyFill="1" applyBorder="1" applyAlignment="1">
      <alignment horizontal="center"/>
    </xf>
    <xf numFmtId="4" fontId="0" fillId="8" borderId="47" xfId="0" applyNumberFormat="1" applyFill="1" applyBorder="1" applyAlignment="1">
      <alignment horizontal="center"/>
    </xf>
    <xf numFmtId="4" fontId="0" fillId="8" borderId="40" xfId="0" applyNumberFormat="1" applyFill="1" applyBorder="1" applyAlignment="1">
      <alignment horizontal="center"/>
    </xf>
    <xf numFmtId="4" fontId="0" fillId="8" borderId="58" xfId="0" applyNumberFormat="1" applyFill="1" applyBorder="1" applyAlignment="1">
      <alignment horizontal="center"/>
    </xf>
    <xf numFmtId="4" fontId="0" fillId="8" borderId="31" xfId="0" applyNumberFormat="1" applyFill="1" applyBorder="1" applyAlignment="1">
      <alignment horizontal="center"/>
    </xf>
    <xf numFmtId="4" fontId="0" fillId="8" borderId="28" xfId="0" applyNumberFormat="1" applyFill="1" applyBorder="1" applyAlignment="1">
      <alignment horizontal="center"/>
    </xf>
    <xf numFmtId="4" fontId="0" fillId="8" borderId="32" xfId="0" applyNumberFormat="1" applyFill="1" applyBorder="1" applyAlignment="1">
      <alignment horizontal="center"/>
    </xf>
    <xf numFmtId="0" fontId="0" fillId="9" borderId="60" xfId="0" applyNumberFormat="1" applyFill="1" applyBorder="1" applyAlignment="1">
      <alignment horizontal="center"/>
    </xf>
    <xf numFmtId="0" fontId="0" fillId="9" borderId="61" xfId="0" applyNumberFormat="1" applyFill="1" applyBorder="1" applyAlignment="1">
      <alignment horizontal="center"/>
    </xf>
    <xf numFmtId="0" fontId="0" fillId="9" borderId="62" xfId="0" applyNumberFormat="1" applyFill="1" applyBorder="1" applyAlignment="1">
      <alignment horizontal="center"/>
    </xf>
    <xf numFmtId="0" fontId="37" fillId="14" borderId="12" xfId="0" applyFont="1" applyFill="1" applyBorder="1"/>
    <xf numFmtId="0" fontId="19" fillId="19" borderId="54" xfId="0" applyFont="1" applyFill="1" applyBorder="1"/>
    <xf numFmtId="168" fontId="19" fillId="10" borderId="17" xfId="0" applyNumberFormat="1" applyFont="1" applyFill="1" applyBorder="1" applyAlignment="1">
      <alignment horizontal="center"/>
    </xf>
    <xf numFmtId="168" fontId="19" fillId="10" borderId="21" xfId="0" applyNumberFormat="1" applyFont="1" applyFill="1" applyBorder="1" applyAlignment="1">
      <alignment horizontal="center"/>
    </xf>
    <xf numFmtId="168" fontId="19" fillId="10" borderId="28" xfId="0" applyNumberFormat="1" applyFont="1" applyFill="1" applyBorder="1" applyAlignment="1">
      <alignment horizontal="center"/>
    </xf>
    <xf numFmtId="168" fontId="19" fillId="10" borderId="29" xfId="0" applyNumberFormat="1" applyFont="1" applyFill="1" applyBorder="1" applyAlignment="1">
      <alignment horizontal="center"/>
    </xf>
    <xf numFmtId="168" fontId="19" fillId="10" borderId="25" xfId="0" applyNumberFormat="1" applyFont="1" applyFill="1" applyBorder="1" applyAlignment="1">
      <alignment horizontal="center"/>
    </xf>
    <xf numFmtId="168" fontId="19" fillId="10" borderId="27" xfId="0" applyNumberFormat="1" applyFont="1" applyFill="1" applyBorder="1" applyAlignment="1">
      <alignment horizontal="center"/>
    </xf>
    <xf numFmtId="168" fontId="19" fillId="10" borderId="8" xfId="0" applyNumberFormat="1" applyFont="1" applyFill="1" applyBorder="1" applyAlignment="1">
      <alignment horizontal="center"/>
    </xf>
    <xf numFmtId="168" fontId="21" fillId="19" borderId="17" xfId="1" applyNumberFormat="1" applyFont="1" applyFill="1" applyBorder="1" applyAlignment="1">
      <alignment horizontal="center"/>
    </xf>
    <xf numFmtId="168" fontId="21" fillId="19" borderId="21" xfId="1" applyNumberFormat="1" applyFont="1" applyFill="1" applyBorder="1" applyAlignment="1">
      <alignment horizontal="center"/>
    </xf>
    <xf numFmtId="168" fontId="0" fillId="0" borderId="0" xfId="0" applyNumberFormat="1"/>
    <xf numFmtId="168" fontId="0" fillId="0" borderId="0" xfId="0" applyNumberFormat="1" applyFill="1" applyBorder="1"/>
    <xf numFmtId="168" fontId="19" fillId="4" borderId="28" xfId="0" applyNumberFormat="1" applyFont="1" applyFill="1" applyBorder="1" applyAlignment="1">
      <alignment horizontal="center"/>
    </xf>
    <xf numFmtId="168" fontId="19" fillId="4" borderId="17" xfId="0" applyNumberFormat="1" applyFont="1" applyFill="1" applyBorder="1" applyAlignment="1">
      <alignment horizontal="center"/>
    </xf>
    <xf numFmtId="168" fontId="19" fillId="4" borderId="27" xfId="0" applyNumberFormat="1" applyFont="1" applyFill="1" applyBorder="1" applyAlignment="1">
      <alignment horizontal="center"/>
    </xf>
    <xf numFmtId="168" fontId="19" fillId="4" borderId="8" xfId="0" applyNumberFormat="1" applyFont="1" applyFill="1" applyBorder="1" applyAlignment="1">
      <alignment horizontal="center"/>
    </xf>
    <xf numFmtId="168" fontId="21" fillId="19" borderId="24" xfId="0" applyNumberFormat="1" applyFont="1" applyFill="1" applyBorder="1" applyAlignment="1">
      <alignment horizontal="center"/>
    </xf>
    <xf numFmtId="168" fontId="21" fillId="19" borderId="30" xfId="0" applyNumberFormat="1" applyFont="1" applyFill="1" applyBorder="1" applyAlignment="1">
      <alignment horizontal="center"/>
    </xf>
    <xf numFmtId="0" fontId="10" fillId="14" borderId="41" xfId="0" applyFont="1" applyFill="1" applyBorder="1"/>
    <xf numFmtId="168" fontId="21" fillId="19" borderId="21" xfId="0" applyNumberFormat="1" applyFont="1" applyFill="1" applyBorder="1" applyAlignment="1">
      <alignment horizontal="center"/>
    </xf>
    <xf numFmtId="169" fontId="0" fillId="14" borderId="42" xfId="0" applyNumberFormat="1" applyFill="1" applyBorder="1" applyAlignment="1">
      <alignment horizontal="center"/>
    </xf>
    <xf numFmtId="169" fontId="0" fillId="14" borderId="42" xfId="0" applyNumberFormat="1" applyFill="1" applyBorder="1"/>
    <xf numFmtId="0" fontId="18" fillId="14" borderId="42" xfId="0" applyFont="1" applyFill="1" applyBorder="1"/>
    <xf numFmtId="0" fontId="20" fillId="14" borderId="41" xfId="0" applyFont="1" applyFill="1" applyBorder="1"/>
    <xf numFmtId="165" fontId="12" fillId="14" borderId="42" xfId="0" applyNumberFormat="1" applyFont="1" applyFill="1" applyBorder="1" applyAlignment="1">
      <alignment horizontal="center"/>
    </xf>
    <xf numFmtId="165" fontId="0" fillId="14" borderId="42" xfId="0" applyNumberFormat="1" applyFill="1" applyBorder="1" applyAlignment="1">
      <alignment horizontal="center"/>
    </xf>
    <xf numFmtId="0" fontId="0" fillId="5" borderId="21" xfId="0" applyFill="1" applyBorder="1" applyAlignment="1">
      <alignment horizontal="left"/>
    </xf>
    <xf numFmtId="0" fontId="0" fillId="5" borderId="59" xfId="0" applyFill="1" applyBorder="1" applyAlignment="1">
      <alignment horizontal="center"/>
    </xf>
    <xf numFmtId="0" fontId="0" fillId="5" borderId="15" xfId="0" applyFill="1" applyBorder="1" applyAlignment="1">
      <alignment horizontal="left"/>
    </xf>
    <xf numFmtId="0" fontId="0" fillId="5" borderId="55" xfId="0" applyFill="1" applyBorder="1" applyAlignment="1">
      <alignment horizontal="center"/>
    </xf>
    <xf numFmtId="0" fontId="0" fillId="5" borderId="54" xfId="0" applyFill="1" applyBorder="1" applyAlignment="1">
      <alignment horizontal="center"/>
    </xf>
    <xf numFmtId="0" fontId="0" fillId="5" borderId="45" xfId="0" applyFill="1" applyBorder="1" applyAlignment="1">
      <alignment horizontal="center"/>
    </xf>
    <xf numFmtId="0" fontId="0" fillId="5" borderId="48" xfId="0" applyFill="1" applyBorder="1" applyAlignment="1">
      <alignment horizontal="left"/>
    </xf>
    <xf numFmtId="0" fontId="0" fillId="5" borderId="51" xfId="0" applyFill="1" applyBorder="1" applyAlignment="1">
      <alignment horizontal="center"/>
    </xf>
    <xf numFmtId="3" fontId="0" fillId="17" borderId="0" xfId="0" applyNumberFormat="1" applyFill="1" applyBorder="1" applyAlignment="1">
      <alignment horizontal="center"/>
    </xf>
    <xf numFmtId="0" fontId="0" fillId="9" borderId="56" xfId="0" applyFill="1" applyBorder="1" applyAlignment="1">
      <alignment horizontal="center"/>
    </xf>
    <xf numFmtId="165" fontId="4" fillId="5" borderId="22" xfId="0" applyNumberFormat="1" applyFont="1" applyFill="1" applyBorder="1" applyAlignment="1">
      <alignment horizontal="center"/>
    </xf>
    <xf numFmtId="3" fontId="0" fillId="17" borderId="2" xfId="0" applyNumberFormat="1" applyFill="1" applyBorder="1" applyAlignment="1">
      <alignment horizontal="center"/>
    </xf>
    <xf numFmtId="1" fontId="0" fillId="0" borderId="0" xfId="0" applyNumberFormat="1" applyFill="1" applyBorder="1" applyAlignment="1">
      <alignment horizontal="center"/>
    </xf>
    <xf numFmtId="0" fontId="1" fillId="0" borderId="65" xfId="0" applyFont="1" applyFill="1" applyBorder="1" applyAlignment="1">
      <alignment horizontal="left" vertical="center"/>
    </xf>
    <xf numFmtId="165" fontId="0" fillId="8" borderId="54" xfId="0" applyNumberFormat="1" applyFill="1" applyBorder="1" applyAlignment="1">
      <alignment horizontal="center"/>
    </xf>
    <xf numFmtId="165" fontId="0" fillId="8" borderId="47" xfId="0" applyNumberFormat="1" applyFill="1" applyBorder="1" applyAlignment="1">
      <alignment horizontal="center"/>
    </xf>
    <xf numFmtId="0" fontId="0" fillId="0" borderId="65" xfId="0" applyFont="1" applyFill="1" applyBorder="1"/>
    <xf numFmtId="0" fontId="0" fillId="0" borderId="39" xfId="0" applyFont="1" applyFill="1" applyBorder="1"/>
    <xf numFmtId="0" fontId="0" fillId="0" borderId="66" xfId="0" applyFont="1" applyFill="1" applyBorder="1"/>
    <xf numFmtId="0" fontId="0" fillId="9" borderId="21" xfId="0" applyFill="1" applyBorder="1" applyAlignment="1">
      <alignment horizontal="center"/>
    </xf>
    <xf numFmtId="2" fontId="0" fillId="17" borderId="21" xfId="0" applyNumberFormat="1" applyFill="1" applyBorder="1" applyAlignment="1">
      <alignment horizontal="center"/>
    </xf>
    <xf numFmtId="0" fontId="0" fillId="9" borderId="4" xfId="0" applyNumberFormat="1" applyFill="1" applyBorder="1" applyAlignment="1">
      <alignment horizontal="center"/>
    </xf>
    <xf numFmtId="0" fontId="0" fillId="9" borderId="7" xfId="0" applyNumberFormat="1" applyFill="1" applyBorder="1" applyAlignment="1">
      <alignment horizontal="center"/>
    </xf>
    <xf numFmtId="0" fontId="0" fillId="9" borderId="57" xfId="0" applyNumberFormat="1" applyFill="1" applyBorder="1" applyAlignment="1">
      <alignment horizontal="center"/>
    </xf>
    <xf numFmtId="0" fontId="0" fillId="9" borderId="14" xfId="0" applyNumberFormat="1" applyFill="1" applyBorder="1" applyAlignment="1">
      <alignment horizontal="center"/>
    </xf>
    <xf numFmtId="0" fontId="0" fillId="9" borderId="15" xfId="0" applyNumberFormat="1" applyFill="1" applyBorder="1" applyAlignment="1">
      <alignment horizontal="center"/>
    </xf>
    <xf numFmtId="0" fontId="0" fillId="9" borderId="55" xfId="0" applyNumberFormat="1" applyFill="1" applyBorder="1" applyAlignment="1">
      <alignment horizontal="center"/>
    </xf>
    <xf numFmtId="0" fontId="2" fillId="14" borderId="12" xfId="0" applyFont="1" applyFill="1" applyBorder="1"/>
    <xf numFmtId="0" fontId="22" fillId="18" borderId="39" xfId="0" applyFont="1" applyFill="1" applyBorder="1" applyAlignment="1">
      <alignment horizontal="left"/>
    </xf>
    <xf numFmtId="0" fontId="22" fillId="18" borderId="66" xfId="0" applyFont="1" applyFill="1" applyBorder="1" applyAlignment="1">
      <alignment horizontal="left"/>
    </xf>
    <xf numFmtId="0" fontId="22" fillId="18" borderId="16" xfId="0" applyFont="1" applyFill="1" applyBorder="1" applyAlignment="1">
      <alignment horizontal="left" wrapText="1"/>
    </xf>
    <xf numFmtId="0" fontId="38" fillId="0" borderId="0" xfId="0" applyFont="1" applyAlignment="1">
      <alignment wrapText="1"/>
    </xf>
    <xf numFmtId="166" fontId="23" fillId="18" borderId="17" xfId="1" applyNumberFormat="1" applyFont="1" applyFill="1" applyBorder="1" applyAlignment="1">
      <alignment horizontal="center"/>
    </xf>
    <xf numFmtId="166" fontId="23" fillId="18" borderId="21" xfId="1" applyNumberFormat="1" applyFont="1" applyFill="1" applyBorder="1" applyAlignment="1">
      <alignment horizontal="center"/>
    </xf>
    <xf numFmtId="166" fontId="23" fillId="18" borderId="40" xfId="1" applyNumberFormat="1" applyFont="1" applyFill="1" applyBorder="1" applyAlignment="1">
      <alignment horizontal="center"/>
    </xf>
    <xf numFmtId="166" fontId="23" fillId="18" borderId="9" xfId="1" applyNumberFormat="1" applyFont="1" applyFill="1" applyBorder="1" applyAlignment="1">
      <alignment horizontal="center"/>
    </xf>
    <xf numFmtId="0" fontId="5" fillId="0" borderId="21" xfId="0" applyFont="1" applyBorder="1" applyAlignment="1">
      <alignment horizontal="center"/>
    </xf>
    <xf numFmtId="166" fontId="0" fillId="11" borderId="37" xfId="0" applyNumberFormat="1" applyFill="1" applyBorder="1" applyAlignment="1">
      <alignment horizontal="center"/>
    </xf>
    <xf numFmtId="166" fontId="0" fillId="11" borderId="38" xfId="0" applyNumberFormat="1" applyFill="1" applyBorder="1" applyAlignment="1">
      <alignment horizontal="center"/>
    </xf>
    <xf numFmtId="2" fontId="0" fillId="24" borderId="0" xfId="0" applyNumberFormat="1" applyFill="1" applyBorder="1" applyAlignment="1">
      <alignment horizontal="center"/>
    </xf>
    <xf numFmtId="2" fontId="0" fillId="24" borderId="2" xfId="0" applyNumberFormat="1" applyFill="1" applyBorder="1" applyAlignment="1">
      <alignment horizontal="center"/>
    </xf>
    <xf numFmtId="2" fontId="0" fillId="24" borderId="22" xfId="0" applyNumberFormat="1" applyFill="1" applyBorder="1" applyAlignment="1">
      <alignment horizontal="center"/>
    </xf>
    <xf numFmtId="2" fontId="0" fillId="24" borderId="3" xfId="0" applyNumberFormat="1" applyFill="1" applyBorder="1" applyAlignment="1">
      <alignment horizontal="center"/>
    </xf>
    <xf numFmtId="0" fontId="1" fillId="0" borderId="41" xfId="0" applyFont="1" applyBorder="1" applyAlignment="1">
      <alignment horizontal="center"/>
    </xf>
    <xf numFmtId="0" fontId="1" fillId="0" borderId="42" xfId="0" applyFont="1" applyBorder="1" applyAlignment="1">
      <alignment horizontal="center"/>
    </xf>
    <xf numFmtId="0" fontId="1" fillId="0" borderId="42" xfId="0" applyFont="1" applyFill="1" applyBorder="1" applyAlignment="1">
      <alignment horizontal="center"/>
    </xf>
    <xf numFmtId="0" fontId="1" fillId="0" borderId="43" xfId="0" applyFont="1" applyFill="1" applyBorder="1" applyAlignment="1">
      <alignment horizontal="center"/>
    </xf>
    <xf numFmtId="174" fontId="0" fillId="24" borderId="0" xfId="0" applyNumberFormat="1" applyFill="1" applyBorder="1" applyAlignment="1">
      <alignment horizontal="center"/>
    </xf>
    <xf numFmtId="0" fontId="1" fillId="20" borderId="0" xfId="0" applyFont="1" applyFill="1" applyBorder="1" applyAlignment="1">
      <alignment horizontal="left"/>
    </xf>
    <xf numFmtId="0" fontId="0" fillId="20" borderId="0" xfId="0" applyFill="1"/>
    <xf numFmtId="0" fontId="1" fillId="5" borderId="36" xfId="0" applyFont="1" applyFill="1" applyBorder="1"/>
    <xf numFmtId="0" fontId="0" fillId="6" borderId="53" xfId="0" applyFill="1" applyBorder="1"/>
    <xf numFmtId="4" fontId="0" fillId="6" borderId="24" xfId="0" applyNumberFormat="1" applyFill="1" applyBorder="1" applyAlignment="1">
      <alignment horizontal="center"/>
    </xf>
    <xf numFmtId="0" fontId="0" fillId="8" borderId="53" xfId="0" applyFill="1" applyBorder="1"/>
    <xf numFmtId="0" fontId="0" fillId="0" borderId="49" xfId="0" applyFill="1" applyBorder="1"/>
    <xf numFmtId="0" fontId="0" fillId="0" borderId="53" xfId="0" applyFill="1" applyBorder="1"/>
    <xf numFmtId="3" fontId="0" fillId="17" borderId="67" xfId="0" applyNumberFormat="1" applyFill="1" applyBorder="1" applyAlignment="1">
      <alignment horizontal="center"/>
    </xf>
    <xf numFmtId="3" fontId="0" fillId="17" borderId="30" xfId="0" applyNumberFormat="1" applyFill="1" applyBorder="1" applyAlignment="1">
      <alignment horizontal="center"/>
    </xf>
    <xf numFmtId="165" fontId="43" fillId="4" borderId="0" xfId="0" applyNumberFormat="1" applyFont="1" applyFill="1" applyBorder="1" applyAlignment="1">
      <alignment horizontal="left"/>
    </xf>
    <xf numFmtId="165" fontId="4" fillId="5" borderId="0" xfId="0" applyNumberFormat="1" applyFont="1" applyFill="1" applyBorder="1" applyAlignment="1">
      <alignment horizontal="left"/>
    </xf>
    <xf numFmtId="0" fontId="1" fillId="5" borderId="12" xfId="0" applyFont="1" applyFill="1" applyBorder="1" applyAlignment="1">
      <alignment horizontal="left"/>
    </xf>
    <xf numFmtId="0" fontId="1" fillId="5" borderId="18" xfId="0" applyFont="1" applyFill="1" applyBorder="1" applyAlignment="1">
      <alignment horizontal="center"/>
    </xf>
    <xf numFmtId="165" fontId="4" fillId="5" borderId="22" xfId="0" applyNumberFormat="1" applyFont="1" applyFill="1" applyBorder="1" applyAlignment="1">
      <alignment horizontal="left"/>
    </xf>
    <xf numFmtId="165" fontId="4" fillId="7" borderId="0" xfId="0" applyNumberFormat="1" applyFont="1" applyFill="1" applyBorder="1" applyAlignment="1">
      <alignment horizontal="left"/>
    </xf>
    <xf numFmtId="167" fontId="5" fillId="6" borderId="33" xfId="0" applyNumberFormat="1" applyFont="1" applyFill="1" applyBorder="1" applyAlignment="1">
      <alignment horizontal="left"/>
    </xf>
    <xf numFmtId="0" fontId="1" fillId="6" borderId="27" xfId="0" applyFont="1" applyFill="1" applyBorder="1"/>
    <xf numFmtId="0" fontId="1" fillId="6" borderId="34" xfId="0" applyFont="1" applyFill="1" applyBorder="1"/>
    <xf numFmtId="167" fontId="1" fillId="6" borderId="7" xfId="0" applyNumberFormat="1" applyFont="1" applyFill="1" applyBorder="1" applyAlignment="1">
      <alignment horizontal="center"/>
    </xf>
    <xf numFmtId="0" fontId="0" fillId="0" borderId="67" xfId="0" applyFill="1" applyBorder="1"/>
    <xf numFmtId="3" fontId="0" fillId="17" borderId="50" xfId="0" applyNumberFormat="1" applyFill="1" applyBorder="1" applyAlignment="1">
      <alignment horizontal="center"/>
    </xf>
    <xf numFmtId="0" fontId="46" fillId="4" borderId="12" xfId="0" applyFont="1" applyFill="1" applyBorder="1" applyAlignment="1">
      <alignment horizontal="left"/>
    </xf>
    <xf numFmtId="3" fontId="19" fillId="4" borderId="0" xfId="0" applyNumberFormat="1" applyFont="1" applyFill="1" applyBorder="1" applyAlignment="1">
      <alignment horizontal="center"/>
    </xf>
    <xf numFmtId="0" fontId="0" fillId="14" borderId="66" xfId="0" applyFont="1" applyFill="1" applyBorder="1" applyAlignment="1">
      <alignment horizontal="left"/>
    </xf>
    <xf numFmtId="0" fontId="0" fillId="14" borderId="65" xfId="0" applyFont="1" applyFill="1" applyBorder="1" applyAlignment="1">
      <alignment horizontal="left"/>
    </xf>
    <xf numFmtId="0" fontId="0" fillId="14" borderId="63" xfId="0" applyFont="1" applyFill="1" applyBorder="1" applyAlignment="1">
      <alignment horizontal="center"/>
    </xf>
    <xf numFmtId="0" fontId="0" fillId="14" borderId="58" xfId="0" applyFont="1" applyFill="1" applyBorder="1" applyAlignment="1">
      <alignment horizontal="center"/>
    </xf>
    <xf numFmtId="0" fontId="0" fillId="14" borderId="13" xfId="0" applyFont="1" applyFill="1" applyBorder="1" applyAlignment="1">
      <alignment horizontal="center"/>
    </xf>
    <xf numFmtId="0" fontId="0" fillId="14" borderId="19" xfId="0" applyFont="1" applyFill="1" applyBorder="1" applyAlignment="1">
      <alignment horizontal="center"/>
    </xf>
    <xf numFmtId="0" fontId="0" fillId="14" borderId="36" xfId="0" applyFont="1" applyFill="1" applyBorder="1" applyAlignment="1">
      <alignment horizontal="center" wrapText="1"/>
    </xf>
    <xf numFmtId="0" fontId="0" fillId="9" borderId="43" xfId="0" applyFill="1" applyBorder="1" applyAlignment="1">
      <alignment horizontal="center"/>
    </xf>
    <xf numFmtId="0" fontId="0" fillId="9" borderId="64" xfId="0" applyFill="1" applyBorder="1" applyAlignment="1">
      <alignment horizontal="center"/>
    </xf>
    <xf numFmtId="0" fontId="1" fillId="0" borderId="0" xfId="0" applyFont="1" applyFill="1" applyBorder="1" applyAlignment="1">
      <alignment horizontal="center"/>
    </xf>
    <xf numFmtId="165" fontId="4" fillId="5" borderId="3" xfId="0" applyNumberFormat="1" applyFont="1" applyFill="1" applyBorder="1" applyAlignment="1">
      <alignment horizontal="center"/>
    </xf>
    <xf numFmtId="167" fontId="5" fillId="6" borderId="8" xfId="0" applyNumberFormat="1" applyFont="1" applyFill="1" applyBorder="1" applyAlignment="1">
      <alignment horizontal="center"/>
    </xf>
    <xf numFmtId="167" fontId="5" fillId="6" borderId="68" xfId="0" applyNumberFormat="1" applyFont="1" applyFill="1" applyBorder="1" applyAlignment="1">
      <alignment horizontal="center"/>
    </xf>
    <xf numFmtId="167" fontId="5" fillId="6" borderId="9" xfId="0" applyNumberFormat="1" applyFont="1" applyFill="1" applyBorder="1" applyAlignment="1">
      <alignment horizontal="center"/>
    </xf>
    <xf numFmtId="167" fontId="5" fillId="6" borderId="12" xfId="0" applyNumberFormat="1" applyFont="1" applyFill="1" applyBorder="1" applyAlignment="1">
      <alignment horizontal="left"/>
    </xf>
    <xf numFmtId="0" fontId="1" fillId="0" borderId="0" xfId="0" applyFont="1" applyAlignment="1">
      <alignment horizontal="center"/>
    </xf>
    <xf numFmtId="167" fontId="0" fillId="0" borderId="0" xfId="0" applyNumberFormat="1" applyFill="1" applyBorder="1" applyAlignment="1">
      <alignment horizontal="center"/>
    </xf>
    <xf numFmtId="172" fontId="0" fillId="0" borderId="0" xfId="0" applyNumberFormat="1" applyFill="1" applyBorder="1" applyAlignment="1">
      <alignment horizontal="center"/>
    </xf>
    <xf numFmtId="173" fontId="0" fillId="0" borderId="0" xfId="0" applyNumberFormat="1" applyFill="1" applyBorder="1" applyAlignment="1">
      <alignment horizontal="center"/>
    </xf>
    <xf numFmtId="166" fontId="0" fillId="0" borderId="0" xfId="0" applyNumberFormat="1" applyFill="1" applyBorder="1" applyAlignment="1">
      <alignment horizontal="center"/>
    </xf>
    <xf numFmtId="166" fontId="0" fillId="0" borderId="0" xfId="1" applyNumberFormat="1" applyFont="1" applyFill="1" applyBorder="1" applyAlignment="1">
      <alignment horizontal="center"/>
    </xf>
    <xf numFmtId="173" fontId="0" fillId="20" borderId="37" xfId="0" applyNumberFormat="1" applyFill="1" applyBorder="1" applyAlignment="1">
      <alignment horizontal="center"/>
    </xf>
    <xf numFmtId="166" fontId="0" fillId="20" borderId="37" xfId="0" applyNumberFormat="1" applyFill="1" applyBorder="1" applyAlignment="1">
      <alignment horizontal="center"/>
    </xf>
    <xf numFmtId="166" fontId="0" fillId="20" borderId="37" xfId="1" applyNumberFormat="1" applyFont="1" applyFill="1" applyBorder="1" applyAlignment="1">
      <alignment horizontal="center"/>
    </xf>
    <xf numFmtId="173" fontId="0" fillId="20" borderId="2" xfId="0" applyNumberFormat="1" applyFill="1" applyBorder="1" applyAlignment="1">
      <alignment horizontal="center"/>
    </xf>
    <xf numFmtId="173" fontId="0" fillId="20" borderId="38" xfId="0" applyNumberFormat="1" applyFill="1" applyBorder="1" applyAlignment="1">
      <alignment horizontal="center"/>
    </xf>
    <xf numFmtId="166" fontId="0" fillId="20" borderId="38" xfId="0" applyNumberFormat="1" applyFill="1" applyBorder="1" applyAlignment="1">
      <alignment horizontal="center"/>
    </xf>
    <xf numFmtId="166" fontId="0" fillId="20" borderId="38" xfId="1" applyNumberFormat="1" applyFont="1" applyFill="1" applyBorder="1" applyAlignment="1">
      <alignment horizontal="center"/>
    </xf>
    <xf numFmtId="173" fontId="0" fillId="20" borderId="3" xfId="0" applyNumberFormat="1" applyFill="1" applyBorder="1" applyAlignment="1">
      <alignment horizontal="center"/>
    </xf>
    <xf numFmtId="165" fontId="0" fillId="15" borderId="37" xfId="0" applyNumberFormat="1" applyFill="1" applyBorder="1" applyAlignment="1">
      <alignment horizontal="center"/>
    </xf>
    <xf numFmtId="166" fontId="0" fillId="15" borderId="37" xfId="0" applyNumberFormat="1" applyFill="1" applyBorder="1" applyAlignment="1">
      <alignment horizontal="center"/>
    </xf>
    <xf numFmtId="165" fontId="43" fillId="15" borderId="10" xfId="0" applyNumberFormat="1" applyFont="1" applyFill="1" applyBorder="1" applyAlignment="1">
      <alignment horizontal="left"/>
    </xf>
    <xf numFmtId="167" fontId="0" fillId="15" borderId="11" xfId="0" applyNumberFormat="1" applyFill="1" applyBorder="1" applyAlignment="1">
      <alignment horizontal="center"/>
    </xf>
    <xf numFmtId="167" fontId="0" fillId="15" borderId="1" xfId="0" applyNumberFormat="1" applyFill="1" applyBorder="1" applyAlignment="1">
      <alignment horizontal="center"/>
    </xf>
    <xf numFmtId="165" fontId="43" fillId="15" borderId="12" xfId="0" applyNumberFormat="1" applyFont="1" applyFill="1" applyBorder="1" applyAlignment="1">
      <alignment horizontal="left"/>
    </xf>
    <xf numFmtId="167" fontId="0" fillId="15" borderId="0" xfId="0" applyNumberFormat="1" applyFill="1" applyBorder="1" applyAlignment="1">
      <alignment horizontal="center"/>
    </xf>
    <xf numFmtId="167" fontId="0" fillId="15" borderId="2" xfId="0" applyNumberFormat="1" applyFill="1" applyBorder="1" applyAlignment="1">
      <alignment horizontal="center"/>
    </xf>
    <xf numFmtId="165" fontId="43" fillId="15" borderId="18" xfId="0" applyNumberFormat="1" applyFont="1" applyFill="1" applyBorder="1" applyAlignment="1">
      <alignment horizontal="left"/>
    </xf>
    <xf numFmtId="167" fontId="0" fillId="15" borderId="22" xfId="0" applyNumberFormat="1" applyFill="1" applyBorder="1" applyAlignment="1">
      <alignment horizontal="center"/>
    </xf>
    <xf numFmtId="167" fontId="0" fillId="15" borderId="3" xfId="0" applyNumberFormat="1" applyFill="1" applyBorder="1" applyAlignment="1">
      <alignment horizontal="center"/>
    </xf>
    <xf numFmtId="173" fontId="0" fillId="15" borderId="37" xfId="0" applyNumberFormat="1" applyFill="1" applyBorder="1" applyAlignment="1">
      <alignment horizontal="center"/>
    </xf>
    <xf numFmtId="0" fontId="0" fillId="15" borderId="37" xfId="0" applyFill="1" applyBorder="1" applyAlignment="1">
      <alignment horizontal="center"/>
    </xf>
    <xf numFmtId="0" fontId="0" fillId="15" borderId="38" xfId="0" applyFill="1" applyBorder="1" applyAlignment="1">
      <alignment horizontal="center"/>
    </xf>
    <xf numFmtId="165" fontId="43" fillId="20" borderId="10" xfId="0" applyNumberFormat="1" applyFont="1" applyFill="1" applyBorder="1" applyAlignment="1">
      <alignment horizontal="left"/>
    </xf>
    <xf numFmtId="165" fontId="43" fillId="20" borderId="12" xfId="0" applyNumberFormat="1" applyFont="1" applyFill="1" applyBorder="1" applyAlignment="1">
      <alignment horizontal="left"/>
    </xf>
    <xf numFmtId="165" fontId="43" fillId="20" borderId="18" xfId="0" applyNumberFormat="1" applyFont="1" applyFill="1" applyBorder="1" applyAlignment="1">
      <alignment horizontal="left"/>
    </xf>
    <xf numFmtId="0" fontId="1" fillId="16" borderId="38" xfId="0" applyFont="1" applyFill="1" applyBorder="1" applyAlignment="1">
      <alignment horizontal="center"/>
    </xf>
    <xf numFmtId="0" fontId="1" fillId="16" borderId="3" xfId="0" applyFont="1" applyFill="1" applyBorder="1" applyAlignment="1">
      <alignment horizontal="center"/>
    </xf>
    <xf numFmtId="167" fontId="1" fillId="6" borderId="20" xfId="0" applyNumberFormat="1" applyFont="1" applyFill="1" applyBorder="1" applyAlignment="1">
      <alignment horizontal="center"/>
    </xf>
    <xf numFmtId="0" fontId="5" fillId="3" borderId="0" xfId="0" applyFont="1" applyFill="1" applyBorder="1" applyAlignment="1">
      <alignment horizontal="center"/>
    </xf>
    <xf numFmtId="165" fontId="43" fillId="0" borderId="0" xfId="0" applyNumberFormat="1" applyFont="1" applyFill="1" applyBorder="1" applyAlignment="1">
      <alignment horizontal="left"/>
    </xf>
    <xf numFmtId="0" fontId="47" fillId="0" borderId="0" xfId="0" applyFont="1" applyFill="1" applyBorder="1"/>
    <xf numFmtId="165" fontId="47" fillId="0" borderId="0" xfId="0" applyNumberFormat="1" applyFont="1" applyFill="1" applyBorder="1" applyAlignment="1">
      <alignment horizontal="center"/>
    </xf>
    <xf numFmtId="173" fontId="47" fillId="0" borderId="0" xfId="0" applyNumberFormat="1" applyFont="1" applyFill="1" applyBorder="1" applyAlignment="1">
      <alignment horizontal="center"/>
    </xf>
    <xf numFmtId="166" fontId="47" fillId="0" borderId="0" xfId="0" applyNumberFormat="1" applyFont="1" applyFill="1" applyBorder="1" applyAlignment="1">
      <alignment horizontal="center"/>
    </xf>
    <xf numFmtId="167" fontId="5" fillId="6" borderId="69" xfId="0" applyNumberFormat="1" applyFont="1" applyFill="1" applyBorder="1" applyAlignment="1">
      <alignment horizontal="center"/>
    </xf>
    <xf numFmtId="0" fontId="1" fillId="6" borderId="0" xfId="0" applyFont="1" applyFill="1" applyBorder="1"/>
    <xf numFmtId="167" fontId="1" fillId="6" borderId="56" xfId="0" applyNumberFormat="1" applyFont="1" applyFill="1" applyBorder="1" applyAlignment="1">
      <alignment horizontal="center"/>
    </xf>
    <xf numFmtId="167" fontId="5" fillId="6" borderId="37" xfId="0" applyNumberFormat="1" applyFont="1" applyFill="1" applyBorder="1" applyAlignment="1">
      <alignment horizontal="center"/>
    </xf>
    <xf numFmtId="167" fontId="1" fillId="6" borderId="43" xfId="0" applyNumberFormat="1" applyFont="1" applyFill="1" applyBorder="1" applyAlignment="1">
      <alignment horizontal="center"/>
    </xf>
    <xf numFmtId="167" fontId="5" fillId="6" borderId="2" xfId="0" applyNumberFormat="1" applyFont="1" applyFill="1" applyBorder="1" applyAlignment="1">
      <alignment horizontal="center"/>
    </xf>
    <xf numFmtId="0" fontId="0" fillId="14" borderId="18" xfId="0" applyFont="1" applyFill="1" applyBorder="1" applyAlignment="1">
      <alignment wrapText="1"/>
    </xf>
    <xf numFmtId="0" fontId="0" fillId="14" borderId="18" xfId="0" applyFill="1" applyBorder="1" applyAlignment="1">
      <alignment horizontal="left" vertical="center"/>
    </xf>
    <xf numFmtId="0" fontId="2" fillId="14" borderId="0" xfId="0" applyFont="1" applyFill="1" applyBorder="1"/>
    <xf numFmtId="164" fontId="2" fillId="14" borderId="0" xfId="0" applyNumberFormat="1" applyFont="1" applyFill="1" applyBorder="1" applyAlignment="1">
      <alignment horizontal="center"/>
    </xf>
    <xf numFmtId="0" fontId="2" fillId="14" borderId="0" xfId="0" applyFont="1" applyFill="1"/>
    <xf numFmtId="0" fontId="0" fillId="14" borderId="0" xfId="0" applyFill="1" applyAlignment="1">
      <alignment horizontal="center"/>
    </xf>
    <xf numFmtId="0" fontId="31" fillId="14" borderId="0" xfId="0" applyFont="1" applyFill="1"/>
    <xf numFmtId="0" fontId="48" fillId="2" borderId="36" xfId="0" applyFont="1" applyFill="1" applyBorder="1"/>
    <xf numFmtId="166" fontId="49" fillId="20" borderId="37" xfId="0" applyNumberFormat="1" applyFont="1" applyFill="1" applyBorder="1" applyAlignment="1">
      <alignment horizontal="center"/>
    </xf>
    <xf numFmtId="166" fontId="50" fillId="20" borderId="37" xfId="0" applyNumberFormat="1" applyFont="1" applyFill="1" applyBorder="1" applyAlignment="1">
      <alignment horizontal="center"/>
    </xf>
    <xf numFmtId="173" fontId="49" fillId="20" borderId="37" xfId="0" applyNumberFormat="1" applyFont="1" applyFill="1" applyBorder="1" applyAlignment="1">
      <alignment horizontal="center"/>
    </xf>
    <xf numFmtId="173" fontId="50" fillId="20" borderId="37" xfId="0" applyNumberFormat="1" applyFont="1" applyFill="1" applyBorder="1" applyAlignment="1">
      <alignment horizontal="center"/>
    </xf>
    <xf numFmtId="173" fontId="50" fillId="20" borderId="38" xfId="0" applyNumberFormat="1" applyFont="1" applyFill="1" applyBorder="1" applyAlignment="1">
      <alignment horizontal="center"/>
    </xf>
    <xf numFmtId="0" fontId="1" fillId="16" borderId="56" xfId="0" applyFont="1" applyFill="1" applyBorder="1" applyAlignment="1">
      <alignment horizontal="center"/>
    </xf>
    <xf numFmtId="1" fontId="0" fillId="24" borderId="12" xfId="0" applyNumberFormat="1" applyFill="1" applyBorder="1" applyAlignment="1">
      <alignment horizontal="center"/>
    </xf>
    <xf numFmtId="1" fontId="0" fillId="24" borderId="0" xfId="0" applyNumberFormat="1" applyFill="1" applyBorder="1" applyAlignment="1">
      <alignment horizontal="center"/>
    </xf>
    <xf numFmtId="1" fontId="0" fillId="24" borderId="18" xfId="0" applyNumberFormat="1" applyFill="1" applyBorder="1" applyAlignment="1">
      <alignment horizontal="center"/>
    </xf>
    <xf numFmtId="1" fontId="0" fillId="24" borderId="22" xfId="0" applyNumberFormat="1" applyFill="1" applyBorder="1" applyAlignment="1">
      <alignment horizontal="center"/>
    </xf>
    <xf numFmtId="1" fontId="0" fillId="24" borderId="2" xfId="0" applyNumberFormat="1" applyFill="1" applyBorder="1" applyAlignment="1">
      <alignment horizontal="center"/>
    </xf>
    <xf numFmtId="1" fontId="0" fillId="24" borderId="3" xfId="0" applyNumberFormat="1" applyFill="1" applyBorder="1" applyAlignment="1">
      <alignment horizontal="center"/>
    </xf>
    <xf numFmtId="0" fontId="1" fillId="7" borderId="11" xfId="0" applyFont="1" applyFill="1" applyBorder="1" applyAlignment="1">
      <alignment horizontal="center"/>
    </xf>
    <xf numFmtId="0" fontId="1" fillId="7" borderId="11" xfId="0" applyFont="1" applyFill="1" applyBorder="1"/>
    <xf numFmtId="0" fontId="0" fillId="7" borderId="1" xfId="0" applyFill="1" applyBorder="1"/>
    <xf numFmtId="166" fontId="0" fillId="0" borderId="0" xfId="0" applyNumberFormat="1"/>
    <xf numFmtId="0" fontId="0" fillId="14" borderId="64" xfId="0" applyFill="1" applyBorder="1"/>
    <xf numFmtId="0" fontId="5" fillId="3" borderId="64" xfId="0" applyFont="1" applyFill="1" applyBorder="1" applyAlignment="1">
      <alignment horizontal="center"/>
    </xf>
    <xf numFmtId="165" fontId="0" fillId="8" borderId="21" xfId="0" applyNumberFormat="1" applyFill="1" applyBorder="1" applyAlignment="1">
      <alignment horizontal="center"/>
    </xf>
    <xf numFmtId="165" fontId="0" fillId="7" borderId="32" xfId="0" applyNumberFormat="1" applyFill="1" applyBorder="1" applyAlignment="1">
      <alignment horizontal="center"/>
    </xf>
    <xf numFmtId="165" fontId="0" fillId="7" borderId="46" xfId="0" applyNumberFormat="1" applyFill="1" applyBorder="1" applyAlignment="1">
      <alignment horizontal="center"/>
    </xf>
    <xf numFmtId="165" fontId="0" fillId="7" borderId="31" xfId="0" applyNumberFormat="1" applyFill="1" applyBorder="1" applyAlignment="1">
      <alignment horizontal="center"/>
    </xf>
    <xf numFmtId="165" fontId="0" fillId="7" borderId="54" xfId="0" applyNumberFormat="1" applyFill="1" applyBorder="1" applyAlignment="1">
      <alignment horizontal="center"/>
    </xf>
    <xf numFmtId="165" fontId="0" fillId="7" borderId="47" xfId="0" applyNumberFormat="1" applyFill="1" applyBorder="1" applyAlignment="1">
      <alignment horizontal="center"/>
    </xf>
    <xf numFmtId="166" fontId="0" fillId="5" borderId="36" xfId="0" applyNumberFormat="1" applyFill="1" applyBorder="1" applyAlignment="1">
      <alignment horizontal="center"/>
    </xf>
    <xf numFmtId="0" fontId="1" fillId="16" borderId="42" xfId="0" applyFont="1" applyFill="1" applyBorder="1" applyAlignment="1">
      <alignment horizontal="center"/>
    </xf>
    <xf numFmtId="0" fontId="1" fillId="16" borderId="43" xfId="0" applyFont="1" applyFill="1" applyBorder="1" applyAlignment="1">
      <alignment horizontal="center"/>
    </xf>
    <xf numFmtId="0" fontId="1" fillId="16" borderId="10" xfId="0" applyFont="1" applyFill="1" applyBorder="1" applyAlignment="1">
      <alignment horizontal="center"/>
    </xf>
    <xf numFmtId="0" fontId="1" fillId="16" borderId="11" xfId="0" applyFont="1" applyFill="1" applyBorder="1" applyAlignment="1">
      <alignment horizontal="center"/>
    </xf>
    <xf numFmtId="173" fontId="0" fillId="15" borderId="2" xfId="0" applyNumberFormat="1" applyFill="1" applyBorder="1" applyAlignment="1">
      <alignment horizontal="center"/>
    </xf>
    <xf numFmtId="0" fontId="0" fillId="15" borderId="2" xfId="0" applyFill="1" applyBorder="1" applyAlignment="1">
      <alignment horizontal="center"/>
    </xf>
    <xf numFmtId="0" fontId="0" fillId="15" borderId="3" xfId="0" applyFill="1" applyBorder="1" applyAlignment="1">
      <alignment horizontal="center"/>
    </xf>
    <xf numFmtId="167" fontId="0" fillId="15" borderId="10" xfId="0" applyNumberFormat="1" applyFill="1" applyBorder="1" applyAlignment="1">
      <alignment horizontal="center"/>
    </xf>
    <xf numFmtId="167" fontId="0" fillId="15" borderId="12" xfId="0" applyNumberFormat="1" applyFill="1" applyBorder="1" applyAlignment="1">
      <alignment horizontal="center"/>
    </xf>
    <xf numFmtId="167" fontId="0" fillId="15" borderId="18" xfId="0" applyNumberFormat="1" applyFill="1" applyBorder="1" applyAlignment="1">
      <alignment horizontal="center"/>
    </xf>
    <xf numFmtId="0" fontId="1" fillId="16" borderId="10" xfId="0" applyFont="1" applyFill="1" applyBorder="1" applyAlignment="1">
      <alignment horizontal="left"/>
    </xf>
    <xf numFmtId="0" fontId="1" fillId="16" borderId="18" xfId="0" applyFont="1" applyFill="1" applyBorder="1" applyAlignment="1">
      <alignment horizontal="center"/>
    </xf>
    <xf numFmtId="0" fontId="1" fillId="16" borderId="22" xfId="0" applyFont="1" applyFill="1" applyBorder="1" applyAlignment="1">
      <alignment horizontal="center"/>
    </xf>
    <xf numFmtId="0" fontId="1" fillId="16" borderId="41" xfId="0" applyFont="1" applyFill="1" applyBorder="1" applyAlignment="1">
      <alignment horizontal="left"/>
    </xf>
    <xf numFmtId="0" fontId="0" fillId="9" borderId="36" xfId="0" applyFill="1" applyBorder="1"/>
    <xf numFmtId="0" fontId="0" fillId="11" borderId="36" xfId="0" applyFill="1" applyBorder="1"/>
    <xf numFmtId="0" fontId="0" fillId="11" borderId="38" xfId="0" applyFill="1" applyBorder="1"/>
    <xf numFmtId="0" fontId="1" fillId="11" borderId="10" xfId="0" applyFont="1" applyFill="1" applyBorder="1"/>
    <xf numFmtId="0" fontId="40" fillId="11" borderId="37" xfId="0" applyFont="1" applyFill="1" applyBorder="1"/>
    <xf numFmtId="0" fontId="0" fillId="9" borderId="37" xfId="0" applyFill="1" applyBorder="1"/>
    <xf numFmtId="0" fontId="0" fillId="5" borderId="1" xfId="0" applyFill="1" applyBorder="1"/>
    <xf numFmtId="0" fontId="40" fillId="5" borderId="2" xfId="0" applyFont="1" applyFill="1" applyBorder="1"/>
    <xf numFmtId="0" fontId="40" fillId="5" borderId="3" xfId="0" applyFont="1" applyFill="1" applyBorder="1"/>
    <xf numFmtId="0" fontId="0" fillId="5" borderId="37" xfId="0" applyFill="1" applyBorder="1"/>
    <xf numFmtId="0" fontId="1" fillId="5" borderId="37" xfId="0" applyFont="1" applyFill="1" applyBorder="1"/>
    <xf numFmtId="0" fontId="0" fillId="5" borderId="38" xfId="0" applyFill="1" applyBorder="1"/>
    <xf numFmtId="0" fontId="0" fillId="16" borderId="36" xfId="0" applyFill="1" applyBorder="1"/>
    <xf numFmtId="0" fontId="0" fillId="16" borderId="37" xfId="0" applyFill="1" applyBorder="1"/>
    <xf numFmtId="0" fontId="0" fillId="16" borderId="38" xfId="0" applyFill="1" applyBorder="1"/>
    <xf numFmtId="0" fontId="1" fillId="16" borderId="10" xfId="0" applyFont="1" applyFill="1" applyBorder="1"/>
    <xf numFmtId="0" fontId="40" fillId="16" borderId="36" xfId="0" applyFont="1" applyFill="1" applyBorder="1"/>
    <xf numFmtId="0" fontId="40" fillId="16" borderId="37" xfId="0" applyFont="1" applyFill="1" applyBorder="1"/>
    <xf numFmtId="0" fontId="40" fillId="16" borderId="38" xfId="0" applyFont="1" applyFill="1" applyBorder="1"/>
    <xf numFmtId="166" fontId="0" fillId="16" borderId="37" xfId="0" applyNumberFormat="1" applyFill="1" applyBorder="1" applyAlignment="1">
      <alignment horizontal="center"/>
    </xf>
    <xf numFmtId="0" fontId="0" fillId="0" borderId="1" xfId="0" applyBorder="1"/>
    <xf numFmtId="1" fontId="0" fillId="9" borderId="4" xfId="0" applyNumberFormat="1" applyFill="1" applyBorder="1" applyAlignment="1">
      <alignment horizontal="center"/>
    </xf>
    <xf numFmtId="1" fontId="0" fillId="9" borderId="7" xfId="0" applyNumberFormat="1" applyFill="1" applyBorder="1" applyAlignment="1">
      <alignment horizontal="center"/>
    </xf>
    <xf numFmtId="1" fontId="0" fillId="9" borderId="57" xfId="0" applyNumberFormat="1" applyFill="1" applyBorder="1" applyAlignment="1">
      <alignment horizontal="center"/>
    </xf>
    <xf numFmtId="165" fontId="0" fillId="8" borderId="59" xfId="0" applyNumberFormat="1" applyFill="1" applyBorder="1" applyAlignment="1">
      <alignment horizontal="center"/>
    </xf>
    <xf numFmtId="165" fontId="0" fillId="8" borderId="15" xfId="0" applyNumberFormat="1" applyFill="1" applyBorder="1" applyAlignment="1">
      <alignment horizontal="center"/>
    </xf>
    <xf numFmtId="165" fontId="0" fillId="8" borderId="55" xfId="0" applyNumberFormat="1" applyFill="1" applyBorder="1" applyAlignment="1">
      <alignment horizontal="center"/>
    </xf>
    <xf numFmtId="165" fontId="0" fillId="8" borderId="45" xfId="0" applyNumberFormat="1" applyFill="1" applyBorder="1" applyAlignment="1">
      <alignment horizontal="center"/>
    </xf>
    <xf numFmtId="165" fontId="0" fillId="8" borderId="48" xfId="0" applyNumberFormat="1" applyFill="1" applyBorder="1" applyAlignment="1">
      <alignment horizontal="center"/>
    </xf>
    <xf numFmtId="165" fontId="0" fillId="8" borderId="51" xfId="0" applyNumberFormat="1" applyFill="1" applyBorder="1" applyAlignment="1">
      <alignment horizontal="center"/>
    </xf>
    <xf numFmtId="1" fontId="0" fillId="16" borderId="13" xfId="0" applyNumberFormat="1" applyFill="1" applyBorder="1" applyAlignment="1">
      <alignment horizontal="center"/>
    </xf>
    <xf numFmtId="1" fontId="0" fillId="16" borderId="38" xfId="0" applyNumberFormat="1" applyFill="1" applyBorder="1" applyAlignment="1">
      <alignment horizontal="center"/>
    </xf>
    <xf numFmtId="167" fontId="5" fillId="6" borderId="35" xfId="0" applyNumberFormat="1" applyFont="1" applyFill="1" applyBorder="1" applyAlignment="1">
      <alignment horizontal="center"/>
    </xf>
    <xf numFmtId="167" fontId="5" fillId="6" borderId="4" xfId="0" applyNumberFormat="1" applyFont="1" applyFill="1" applyBorder="1" applyAlignment="1">
      <alignment horizontal="left"/>
    </xf>
    <xf numFmtId="167" fontId="1" fillId="6" borderId="57" xfId="0" applyNumberFormat="1" applyFont="1" applyFill="1" applyBorder="1" applyAlignment="1">
      <alignment horizontal="center"/>
    </xf>
    <xf numFmtId="0" fontId="1" fillId="6" borderId="5" xfId="0" applyFont="1" applyFill="1" applyBorder="1"/>
    <xf numFmtId="0" fontId="1" fillId="6" borderId="6" xfId="0" applyFont="1" applyFill="1" applyBorder="1"/>
    <xf numFmtId="167" fontId="5" fillId="6" borderId="70" xfId="0" applyNumberFormat="1" applyFont="1" applyFill="1" applyBorder="1" applyAlignment="1">
      <alignment horizontal="center"/>
    </xf>
    <xf numFmtId="167" fontId="1" fillId="6" borderId="1" xfId="0" applyNumberFormat="1" applyFont="1" applyFill="1" applyBorder="1" applyAlignment="1">
      <alignment horizontal="center"/>
    </xf>
    <xf numFmtId="167" fontId="5" fillId="6" borderId="3" xfId="0" applyNumberFormat="1" applyFont="1" applyFill="1" applyBorder="1" applyAlignment="1">
      <alignment horizontal="center"/>
    </xf>
    <xf numFmtId="0" fontId="5" fillId="3" borderId="10" xfId="0" applyFont="1" applyFill="1" applyBorder="1" applyAlignment="1">
      <alignment horizontal="center"/>
    </xf>
    <xf numFmtId="166" fontId="0" fillId="7" borderId="31" xfId="0" applyNumberFormat="1" applyFill="1" applyBorder="1" applyAlignment="1">
      <alignment horizontal="center"/>
    </xf>
    <xf numFmtId="166" fontId="0" fillId="7" borderId="25" xfId="0" applyNumberFormat="1" applyFill="1" applyBorder="1" applyAlignment="1">
      <alignment horizontal="center"/>
    </xf>
    <xf numFmtId="166" fontId="0" fillId="7" borderId="44" xfId="0" applyNumberFormat="1" applyFill="1" applyBorder="1" applyAlignment="1">
      <alignment horizontal="center"/>
    </xf>
    <xf numFmtId="9" fontId="0" fillId="0" borderId="6" xfId="0" applyNumberFormat="1" applyBorder="1" applyAlignment="1">
      <alignment horizontal="center"/>
    </xf>
    <xf numFmtId="9" fontId="0" fillId="0" borderId="9" xfId="0" applyNumberFormat="1" applyBorder="1" applyAlignment="1">
      <alignment horizontal="center"/>
    </xf>
    <xf numFmtId="9" fontId="0" fillId="0" borderId="70" xfId="0" applyNumberFormat="1" applyBorder="1" applyAlignment="1">
      <alignment horizontal="center"/>
    </xf>
    <xf numFmtId="0" fontId="1" fillId="7" borderId="41" xfId="0" applyFont="1" applyFill="1" applyBorder="1"/>
    <xf numFmtId="0" fontId="1" fillId="7" borderId="42" xfId="0" applyFont="1" applyFill="1" applyBorder="1"/>
    <xf numFmtId="0" fontId="1" fillId="7" borderId="43" xfId="0" applyFont="1" applyFill="1" applyBorder="1"/>
    <xf numFmtId="0" fontId="1" fillId="19" borderId="65" xfId="0" applyFont="1" applyFill="1" applyBorder="1"/>
    <xf numFmtId="166" fontId="0" fillId="21" borderId="52" xfId="0" applyNumberFormat="1" applyFill="1" applyBorder="1" applyAlignment="1">
      <alignment horizontal="center"/>
    </xf>
    <xf numFmtId="0" fontId="1" fillId="21" borderId="10" xfId="0" applyFont="1" applyFill="1" applyBorder="1"/>
    <xf numFmtId="0" fontId="1" fillId="21" borderId="11" xfId="0" applyFont="1" applyFill="1" applyBorder="1"/>
    <xf numFmtId="0" fontId="1" fillId="21" borderId="1" xfId="0" applyFont="1" applyFill="1" applyBorder="1"/>
    <xf numFmtId="9" fontId="0" fillId="0" borderId="18" xfId="0" applyNumberFormat="1" applyBorder="1" applyAlignment="1">
      <alignment horizontal="center"/>
    </xf>
    <xf numFmtId="9" fontId="0" fillId="0" borderId="22" xfId="0" applyNumberFormat="1" applyBorder="1" applyAlignment="1">
      <alignment horizontal="center"/>
    </xf>
    <xf numFmtId="9" fontId="0" fillId="0" borderId="3" xfId="0" applyNumberFormat="1" applyBorder="1" applyAlignment="1">
      <alignment horizontal="center"/>
    </xf>
    <xf numFmtId="0" fontId="4" fillId="25" borderId="13" xfId="0" applyFont="1" applyFill="1" applyBorder="1" applyAlignment="1">
      <alignment horizontal="left"/>
    </xf>
    <xf numFmtId="0" fontId="0" fillId="25" borderId="19" xfId="0" applyFill="1" applyBorder="1"/>
    <xf numFmtId="0" fontId="4" fillId="25" borderId="60" xfId="0" applyFont="1" applyFill="1" applyBorder="1" applyAlignment="1">
      <alignment horizontal="left"/>
    </xf>
    <xf numFmtId="0" fontId="4" fillId="25" borderId="62" xfId="0" applyFont="1" applyFill="1" applyBorder="1" applyAlignment="1">
      <alignment horizontal="center"/>
    </xf>
    <xf numFmtId="0" fontId="3" fillId="25" borderId="13" xfId="0" applyFont="1" applyFill="1" applyBorder="1" applyAlignment="1">
      <alignment horizontal="center"/>
    </xf>
    <xf numFmtId="165" fontId="3" fillId="25" borderId="19" xfId="0" applyNumberFormat="1" applyFont="1" applyFill="1" applyBorder="1" applyAlignment="1">
      <alignment horizontal="center"/>
    </xf>
    <xf numFmtId="175" fontId="0" fillId="5" borderId="47" xfId="0" applyNumberFormat="1" applyFill="1" applyBorder="1" applyAlignment="1">
      <alignment horizontal="center"/>
    </xf>
    <xf numFmtId="167" fontId="5" fillId="6" borderId="10" xfId="0" applyNumberFormat="1" applyFont="1" applyFill="1" applyBorder="1" applyAlignment="1">
      <alignment horizontal="left"/>
    </xf>
    <xf numFmtId="167" fontId="5" fillId="6" borderId="18" xfId="0" applyNumberFormat="1" applyFont="1" applyFill="1" applyBorder="1" applyAlignment="1">
      <alignment horizontal="left"/>
    </xf>
    <xf numFmtId="0" fontId="1" fillId="25" borderId="60" xfId="0" applyFont="1" applyFill="1" applyBorder="1" applyAlignment="1">
      <alignment horizontal="left"/>
    </xf>
    <xf numFmtId="175" fontId="12" fillId="25" borderId="16" xfId="0" applyNumberFormat="1" applyFont="1" applyFill="1" applyBorder="1" applyAlignment="1">
      <alignment horizontal="center"/>
    </xf>
    <xf numFmtId="165" fontId="43" fillId="15" borderId="11" xfId="0" applyNumberFormat="1" applyFont="1" applyFill="1" applyBorder="1" applyAlignment="1">
      <alignment horizontal="left"/>
    </xf>
    <xf numFmtId="165" fontId="43" fillId="15" borderId="0" xfId="0" applyNumberFormat="1" applyFont="1" applyFill="1" applyBorder="1" applyAlignment="1">
      <alignment horizontal="left"/>
    </xf>
    <xf numFmtId="165" fontId="43" fillId="15" borderId="22" xfId="0" applyNumberFormat="1" applyFont="1" applyFill="1" applyBorder="1" applyAlignment="1">
      <alignment horizontal="left"/>
    </xf>
    <xf numFmtId="167" fontId="5" fillId="6" borderId="1" xfId="0" applyNumberFormat="1" applyFont="1" applyFill="1" applyBorder="1" applyAlignment="1">
      <alignment horizontal="center"/>
    </xf>
    <xf numFmtId="167" fontId="1" fillId="6" borderId="36" xfId="0" applyNumberFormat="1" applyFont="1" applyFill="1" applyBorder="1" applyAlignment="1">
      <alignment horizontal="center"/>
    </xf>
    <xf numFmtId="0" fontId="1" fillId="6" borderId="0" xfId="0" applyFont="1" applyFill="1" applyBorder="1" applyAlignment="1">
      <alignment horizontal="left"/>
    </xf>
    <xf numFmtId="0" fontId="1" fillId="6" borderId="11" xfId="0" applyFont="1" applyFill="1" applyBorder="1" applyAlignment="1">
      <alignment horizontal="left"/>
    </xf>
    <xf numFmtId="0" fontId="1" fillId="6" borderId="22" xfId="0" applyFont="1" applyFill="1" applyBorder="1" applyAlignment="1">
      <alignment horizontal="left"/>
    </xf>
    <xf numFmtId="167" fontId="5" fillId="6" borderId="20" xfId="0" applyNumberFormat="1" applyFont="1" applyFill="1" applyBorder="1" applyAlignment="1">
      <alignment horizontal="center"/>
    </xf>
    <xf numFmtId="166" fontId="5" fillId="6" borderId="57" xfId="0" applyNumberFormat="1" applyFont="1" applyFill="1" applyBorder="1" applyAlignment="1">
      <alignment horizontal="center"/>
    </xf>
    <xf numFmtId="166" fontId="5" fillId="6" borderId="68" xfId="0" applyNumberFormat="1" applyFont="1" applyFill="1" applyBorder="1" applyAlignment="1">
      <alignment horizontal="center"/>
    </xf>
    <xf numFmtId="166" fontId="5" fillId="6" borderId="70" xfId="0" applyNumberFormat="1" applyFont="1" applyFill="1" applyBorder="1" applyAlignment="1">
      <alignment horizontal="center"/>
    </xf>
    <xf numFmtId="167" fontId="5" fillId="6" borderId="11" xfId="0" applyNumberFormat="1" applyFont="1" applyFill="1" applyBorder="1" applyAlignment="1">
      <alignment horizontal="left"/>
    </xf>
    <xf numFmtId="0" fontId="1" fillId="6" borderId="22" xfId="0" applyFont="1" applyFill="1" applyBorder="1"/>
    <xf numFmtId="167" fontId="5" fillId="6" borderId="38" xfId="0" applyNumberFormat="1" applyFont="1" applyFill="1" applyBorder="1" applyAlignment="1">
      <alignment horizontal="center"/>
    </xf>
    <xf numFmtId="0" fontId="5" fillId="25" borderId="10" xfId="0" applyFont="1" applyFill="1" applyBorder="1"/>
    <xf numFmtId="0" fontId="0" fillId="25" borderId="11" xfId="0" applyFill="1" applyBorder="1"/>
    <xf numFmtId="0" fontId="0" fillId="25" borderId="1" xfId="0" applyFill="1" applyBorder="1"/>
    <xf numFmtId="0" fontId="0" fillId="26" borderId="56" xfId="0" applyFill="1" applyBorder="1" applyAlignment="1">
      <alignment horizontal="centerContinuous" vertical="top" wrapText="1"/>
    </xf>
    <xf numFmtId="0" fontId="0" fillId="26" borderId="43" xfId="0" applyFill="1" applyBorder="1" applyAlignment="1">
      <alignment horizontal="centerContinuous"/>
    </xf>
    <xf numFmtId="0" fontId="52" fillId="14" borderId="12" xfId="0" applyFont="1" applyFill="1" applyBorder="1"/>
    <xf numFmtId="0" fontId="33" fillId="14" borderId="2" xfId="3" quotePrefix="1" applyFill="1" applyBorder="1"/>
    <xf numFmtId="0" fontId="0" fillId="10" borderId="0" xfId="0" applyFill="1" applyBorder="1"/>
    <xf numFmtId="0" fontId="1" fillId="10" borderId="0" xfId="0" applyFont="1" applyFill="1" applyBorder="1" applyAlignment="1">
      <alignment horizontal="center"/>
    </xf>
    <xf numFmtId="0" fontId="0" fillId="22" borderId="0" xfId="0" applyFill="1" applyBorder="1"/>
    <xf numFmtId="0" fontId="1" fillId="22" borderId="0" xfId="0" applyFont="1" applyFill="1" applyBorder="1" applyAlignment="1">
      <alignment horizontal="center"/>
    </xf>
    <xf numFmtId="0" fontId="0" fillId="22" borderId="0" xfId="0" applyFill="1"/>
    <xf numFmtId="9" fontId="0" fillId="0" borderId="5" xfId="0" applyNumberFormat="1" applyBorder="1" applyAlignment="1">
      <alignment horizontal="center"/>
    </xf>
    <xf numFmtId="9" fontId="0" fillId="0" borderId="8" xfId="0" applyNumberFormat="1" applyBorder="1" applyAlignment="1">
      <alignment horizontal="center"/>
    </xf>
    <xf numFmtId="9" fontId="0" fillId="0" borderId="68" xfId="0" applyNumberFormat="1" applyBorder="1" applyAlignment="1">
      <alignment horizontal="center"/>
    </xf>
    <xf numFmtId="0" fontId="0" fillId="5" borderId="67" xfId="0" applyFill="1" applyBorder="1" applyAlignment="1">
      <alignment horizontal="center"/>
    </xf>
    <xf numFmtId="0" fontId="0" fillId="5" borderId="30" xfId="0" applyFill="1" applyBorder="1" applyAlignment="1">
      <alignment horizontal="left"/>
    </xf>
    <xf numFmtId="0" fontId="0" fillId="5" borderId="50" xfId="0" applyFill="1" applyBorder="1" applyAlignment="1">
      <alignment horizontal="center"/>
    </xf>
    <xf numFmtId="0" fontId="1" fillId="0" borderId="38" xfId="0" applyFont="1" applyFill="1" applyBorder="1"/>
    <xf numFmtId="0" fontId="1" fillId="0" borderId="41" xfId="0" applyFont="1" applyBorder="1" applyAlignment="1">
      <alignment horizontal="right"/>
    </xf>
    <xf numFmtId="9" fontId="0" fillId="0" borderId="42" xfId="0" applyNumberFormat="1" applyBorder="1" applyAlignment="1">
      <alignment horizontal="center"/>
    </xf>
    <xf numFmtId="9" fontId="0" fillId="0" borderId="43" xfId="0" applyNumberFormat="1" applyBorder="1" applyAlignment="1">
      <alignment horizontal="center"/>
    </xf>
    <xf numFmtId="0" fontId="1" fillId="19" borderId="11" xfId="0" applyFont="1" applyFill="1" applyBorder="1"/>
    <xf numFmtId="0" fontId="1" fillId="19" borderId="1" xfId="0" applyFont="1" applyFill="1" applyBorder="1"/>
    <xf numFmtId="0" fontId="1" fillId="19" borderId="10" xfId="0" applyFont="1" applyFill="1" applyBorder="1"/>
    <xf numFmtId="9" fontId="0" fillId="0" borderId="61" xfId="0" applyNumberFormat="1" applyBorder="1" applyAlignment="1">
      <alignment horizontal="center"/>
    </xf>
    <xf numFmtId="9" fontId="0" fillId="0" borderId="62" xfId="0" applyNumberFormat="1" applyBorder="1" applyAlignment="1">
      <alignment horizontal="center"/>
    </xf>
    <xf numFmtId="9" fontId="0" fillId="0" borderId="41" xfId="0" applyNumberFormat="1" applyBorder="1" applyAlignment="1">
      <alignment horizontal="center"/>
    </xf>
    <xf numFmtId="9" fontId="0" fillId="0" borderId="60" xfId="0" applyNumberFormat="1" applyBorder="1" applyAlignment="1">
      <alignment horizontal="center"/>
    </xf>
    <xf numFmtId="0" fontId="33" fillId="14" borderId="0" xfId="3" quotePrefix="1" applyFill="1" applyBorder="1"/>
    <xf numFmtId="0" fontId="2" fillId="14" borderId="2" xfId="0" applyFont="1" applyFill="1" applyBorder="1"/>
    <xf numFmtId="0" fontId="2" fillId="14" borderId="10" xfId="0" applyFont="1" applyFill="1" applyBorder="1"/>
    <xf numFmtId="164" fontId="2" fillId="14" borderId="11" xfId="0" applyNumberFormat="1" applyFont="1" applyFill="1" applyBorder="1" applyAlignment="1">
      <alignment horizontal="center"/>
    </xf>
    <xf numFmtId="0" fontId="2" fillId="14" borderId="11" xfId="0" applyFont="1" applyFill="1" applyBorder="1"/>
    <xf numFmtId="0" fontId="2" fillId="14" borderId="1" xfId="0" applyFont="1" applyFill="1" applyBorder="1"/>
    <xf numFmtId="0" fontId="0" fillId="24" borderId="63" xfId="0" applyFill="1" applyBorder="1" applyAlignment="1">
      <alignment horizontal="center" vertical="top" wrapText="1"/>
    </xf>
    <xf numFmtId="0" fontId="0" fillId="24" borderId="46" xfId="0" applyFill="1" applyBorder="1" applyAlignment="1">
      <alignment horizontal="center" vertical="top" wrapText="1"/>
    </xf>
    <xf numFmtId="0" fontId="0" fillId="24" borderId="58" xfId="0" applyFill="1" applyBorder="1" applyAlignment="1">
      <alignment horizontal="center" vertical="top" wrapText="1"/>
    </xf>
    <xf numFmtId="0" fontId="4" fillId="4" borderId="13" xfId="0" applyFont="1" applyFill="1" applyBorder="1" applyAlignment="1">
      <alignment horizontal="center" vertical="top"/>
    </xf>
    <xf numFmtId="0" fontId="4" fillId="4" borderId="16" xfId="0" applyFont="1" applyFill="1" applyBorder="1" applyAlignment="1">
      <alignment horizontal="center" vertical="top"/>
    </xf>
    <xf numFmtId="0" fontId="4" fillId="4" borderId="19" xfId="0" applyFont="1" applyFill="1" applyBorder="1" applyAlignment="1">
      <alignment horizontal="center" vertical="top"/>
    </xf>
    <xf numFmtId="0" fontId="1" fillId="4" borderId="54" xfId="0" applyFont="1" applyFill="1" applyBorder="1" applyAlignment="1">
      <alignment horizontal="center" vertical="top"/>
    </xf>
    <xf numFmtId="0" fontId="0" fillId="24" borderId="45" xfId="0" applyFill="1" applyBorder="1" applyAlignment="1">
      <alignment vertical="top" wrapText="1"/>
    </xf>
    <xf numFmtId="0" fontId="1" fillId="4" borderId="47" xfId="0" applyFont="1" applyFill="1" applyBorder="1" applyAlignment="1">
      <alignment horizontal="center" vertical="top"/>
    </xf>
    <xf numFmtId="0" fontId="0" fillId="24" borderId="51" xfId="0" applyFill="1" applyBorder="1" applyAlignment="1">
      <alignment vertical="top" wrapText="1"/>
    </xf>
    <xf numFmtId="0" fontId="1" fillId="4" borderId="31" xfId="0" applyFont="1" applyFill="1" applyBorder="1" applyAlignment="1">
      <alignment horizontal="center" vertical="top"/>
    </xf>
    <xf numFmtId="0" fontId="0" fillId="24" borderId="44" xfId="0" applyFill="1" applyBorder="1" applyAlignment="1">
      <alignment vertical="top" wrapText="1"/>
    </xf>
    <xf numFmtId="0" fontId="48" fillId="2" borderId="41" xfId="0" applyFont="1" applyFill="1" applyBorder="1"/>
    <xf numFmtId="0" fontId="48" fillId="2" borderId="43" xfId="0" applyFont="1" applyFill="1" applyBorder="1"/>
    <xf numFmtId="164" fontId="0" fillId="14" borderId="0" xfId="0" applyNumberFormat="1" applyFill="1" applyAlignment="1">
      <alignment horizontal="center"/>
    </xf>
    <xf numFmtId="165" fontId="0" fillId="14" borderId="0" xfId="0" applyNumberFormat="1" applyFill="1"/>
    <xf numFmtId="164" fontId="0" fillId="14" borderId="0" xfId="0" applyNumberFormat="1" applyFill="1" applyBorder="1" applyAlignment="1">
      <alignment horizontal="center"/>
    </xf>
    <xf numFmtId="165" fontId="0" fillId="14" borderId="0" xfId="0" applyNumberFormat="1" applyFill="1" applyBorder="1" applyAlignment="1">
      <alignment horizontal="center"/>
    </xf>
    <xf numFmtId="0" fontId="1" fillId="14" borderId="59" xfId="0" applyFont="1" applyFill="1" applyBorder="1" applyAlignment="1">
      <alignment horizontal="center"/>
    </xf>
    <xf numFmtId="0" fontId="1" fillId="14" borderId="55" xfId="0" applyFont="1" applyFill="1" applyBorder="1" applyAlignment="1">
      <alignment horizontal="center"/>
    </xf>
    <xf numFmtId="1" fontId="1" fillId="14" borderId="0" xfId="0" applyNumberFormat="1" applyFont="1" applyFill="1" applyBorder="1" applyAlignment="1">
      <alignment horizontal="center"/>
    </xf>
    <xf numFmtId="2" fontId="1" fillId="14" borderId="0" xfId="0" applyNumberFormat="1" applyFont="1" applyFill="1" applyBorder="1" applyAlignment="1">
      <alignment horizontal="center"/>
    </xf>
    <xf numFmtId="165" fontId="41" fillId="14" borderId="47" xfId="0" applyNumberFormat="1" applyFont="1" applyFill="1" applyBorder="1" applyAlignment="1">
      <alignment horizontal="center"/>
    </xf>
    <xf numFmtId="165" fontId="41" fillId="14" borderId="51" xfId="0" applyNumberFormat="1" applyFont="1" applyFill="1" applyBorder="1" applyAlignment="1">
      <alignment horizontal="center"/>
    </xf>
    <xf numFmtId="0" fontId="0" fillId="14" borderId="0" xfId="0" applyFill="1" applyBorder="1" applyAlignment="1">
      <alignment horizontal="right"/>
    </xf>
    <xf numFmtId="0" fontId="25" fillId="14" borderId="0" xfId="0" applyFont="1" applyFill="1"/>
    <xf numFmtId="0" fontId="26" fillId="14" borderId="0" xfId="0" applyFont="1" applyFill="1"/>
    <xf numFmtId="0" fontId="0" fillId="14" borderId="12" xfId="0" applyFont="1" applyFill="1" applyBorder="1"/>
    <xf numFmtId="164" fontId="1" fillId="14" borderId="0" xfId="0" applyNumberFormat="1" applyFont="1" applyFill="1" applyBorder="1" applyAlignment="1">
      <alignment horizontal="center"/>
    </xf>
    <xf numFmtId="0" fontId="1" fillId="14" borderId="0" xfId="0" applyFont="1" applyFill="1" applyBorder="1"/>
    <xf numFmtId="0" fontId="1" fillId="14" borderId="18" xfId="0" applyFont="1" applyFill="1" applyBorder="1"/>
    <xf numFmtId="164" fontId="1" fillId="14" borderId="22" xfId="0" applyNumberFormat="1" applyFont="1" applyFill="1" applyBorder="1" applyAlignment="1">
      <alignment horizontal="center"/>
    </xf>
    <xf numFmtId="0" fontId="1" fillId="14" borderId="22" xfId="0" applyFont="1" applyFill="1" applyBorder="1"/>
    <xf numFmtId="0" fontId="1" fillId="14" borderId="0" xfId="0" applyFont="1" applyFill="1" applyBorder="1" applyAlignment="1">
      <alignment horizontal="center"/>
    </xf>
    <xf numFmtId="0" fontId="0" fillId="4" borderId="2" xfId="0" applyFill="1" applyBorder="1"/>
    <xf numFmtId="164" fontId="0" fillId="4" borderId="2" xfId="0" applyNumberFormat="1" applyFill="1" applyBorder="1" applyAlignment="1">
      <alignment horizontal="center"/>
    </xf>
    <xf numFmtId="164" fontId="0" fillId="4" borderId="3" xfId="0" applyNumberFormat="1" applyFill="1" applyBorder="1" applyAlignment="1">
      <alignment horizontal="center"/>
    </xf>
    <xf numFmtId="0" fontId="1" fillId="14" borderId="2" xfId="0" applyFont="1" applyFill="1" applyBorder="1"/>
    <xf numFmtId="0" fontId="1" fillId="14" borderId="3" xfId="0" applyFont="1" applyFill="1" applyBorder="1"/>
    <xf numFmtId="166" fontId="12" fillId="25" borderId="16" xfId="0" applyNumberFormat="1" applyFont="1" applyFill="1" applyBorder="1" applyAlignment="1">
      <alignment horizontal="center"/>
    </xf>
    <xf numFmtId="0" fontId="36" fillId="14" borderId="12" xfId="0" applyFont="1" applyFill="1" applyBorder="1" applyAlignment="1">
      <alignment horizontal="left" vertical="center" readingOrder="1"/>
    </xf>
    <xf numFmtId="0" fontId="36" fillId="14" borderId="0" xfId="0" applyFont="1" applyFill="1" applyBorder="1" applyAlignment="1">
      <alignment horizontal="center"/>
    </xf>
    <xf numFmtId="0" fontId="36" fillId="14" borderId="12" xfId="0" applyFont="1" applyFill="1" applyBorder="1" applyAlignment="1">
      <alignment vertical="center" readingOrder="1"/>
    </xf>
    <xf numFmtId="0" fontId="36" fillId="14" borderId="0" xfId="0" applyFont="1" applyFill="1" applyBorder="1" applyAlignment="1">
      <alignment horizontal="left"/>
    </xf>
    <xf numFmtId="0" fontId="0" fillId="14" borderId="12" xfId="0" applyFont="1" applyFill="1" applyBorder="1" applyAlignment="1">
      <alignment horizontal="left" vertical="center" readingOrder="1"/>
    </xf>
    <xf numFmtId="0" fontId="0" fillId="8" borderId="36" xfId="0" applyFill="1" applyBorder="1" applyAlignment="1">
      <alignment horizontal="center" vertical="center"/>
    </xf>
    <xf numFmtId="0" fontId="0" fillId="8" borderId="37" xfId="0" applyFill="1" applyBorder="1" applyAlignment="1">
      <alignment horizontal="center" vertical="center"/>
    </xf>
    <xf numFmtId="0" fontId="0" fillId="8" borderId="38" xfId="0" applyFill="1" applyBorder="1" applyAlignment="1">
      <alignment horizontal="center" vertical="center"/>
    </xf>
    <xf numFmtId="0" fontId="0" fillId="8" borderId="10" xfId="0" applyFill="1" applyBorder="1" applyAlignment="1">
      <alignment horizontal="center" vertical="center"/>
    </xf>
    <xf numFmtId="0" fontId="0" fillId="8" borderId="12" xfId="0" applyFill="1" applyBorder="1" applyAlignment="1">
      <alignment horizontal="center" vertical="center"/>
    </xf>
    <xf numFmtId="0" fontId="0" fillId="8" borderId="18" xfId="0" applyFill="1" applyBorder="1" applyAlignment="1">
      <alignment horizontal="center" vertical="center"/>
    </xf>
  </cellXfs>
  <cellStyles count="4">
    <cellStyle name="Comma" xfId="1" builtinId="3"/>
    <cellStyle name="Hyperlink" xfId="3" builtinId="8"/>
    <cellStyle name="Normal" xfId="0" builtinId="0"/>
    <cellStyle name="Normal_FC Correction" xfId="2"/>
  </cellStyles>
  <dxfs count="0"/>
  <tableStyles count="0" defaultTableStyle="TableStyleMedium2" defaultPivotStyle="PivotStyleLight16"/>
  <colors>
    <mruColors>
      <color rgb="FFFFFF99"/>
      <color rgb="FFCCFF99"/>
      <color rgb="FFFFCC99"/>
      <color rgb="FFFF5050"/>
      <color rgb="FFFF0066"/>
      <color rgb="FFFF0000"/>
      <color rgb="FFFFFF66"/>
      <color rgb="FFFFCC66"/>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oneCell">
    <xdr:from>
      <xdr:col>4</xdr:col>
      <xdr:colOff>0</xdr:colOff>
      <xdr:row>3</xdr:row>
      <xdr:rowOff>0</xdr:rowOff>
    </xdr:from>
    <xdr:to>
      <xdr:col>4</xdr:col>
      <xdr:colOff>952500</xdr:colOff>
      <xdr:row>5</xdr:row>
      <xdr:rowOff>38100</xdr:rowOff>
    </xdr:to>
    <xdr:sp macro="" textlink="">
      <xdr:nvSpPr>
        <xdr:cNvPr id="2" name="AutoShape 1" descr="Commission logo"/>
        <xdr:cNvSpPr>
          <a:spLocks noChangeAspect="1" noChangeArrowheads="1"/>
        </xdr:cNvSpPr>
      </xdr:nvSpPr>
      <xdr:spPr bwMode="auto">
        <a:xfrm>
          <a:off x="7305675" y="723900"/>
          <a:ext cx="952500" cy="4667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5</xdr:col>
      <xdr:colOff>0</xdr:colOff>
      <xdr:row>5</xdr:row>
      <xdr:rowOff>0</xdr:rowOff>
    </xdr:from>
    <xdr:to>
      <xdr:col>5</xdr:col>
      <xdr:colOff>952500</xdr:colOff>
      <xdr:row>7</xdr:row>
      <xdr:rowOff>85725</xdr:rowOff>
    </xdr:to>
    <xdr:sp macro="" textlink="">
      <xdr:nvSpPr>
        <xdr:cNvPr id="3" name="AutoShape 3" descr="Commission logo"/>
        <xdr:cNvSpPr>
          <a:spLocks noChangeAspect="1" noChangeArrowheads="1"/>
        </xdr:cNvSpPr>
      </xdr:nvSpPr>
      <xdr:spPr bwMode="auto">
        <a:xfrm>
          <a:off x="8972550" y="1152525"/>
          <a:ext cx="952500" cy="4667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www.sciencedirect.com/science/article/pii/S0925527309004344" TargetMode="External"/><Relationship Id="rId1" Type="http://schemas.openxmlformats.org/officeDocument/2006/relationships/hyperlink" Target="http://ec.europa.eu/environment/archives/cafe/activities/pdf/cafe_cba_externalities.pdf" TargetMode="External"/><Relationship Id="rId4"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ec.europa.eu/environment/archives/cafe/activities/pdf/cafe_cba_externalities.pdf"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7.bin"/><Relationship Id="rId1" Type="http://schemas.openxmlformats.org/officeDocument/2006/relationships/hyperlink" Target="http://ec.europa.eu/environment/archives/cafe/activities/pdf/cafe_cba_externalities.pdf"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4:M17"/>
  <sheetViews>
    <sheetView zoomScaleNormal="100" workbookViewId="0">
      <selection activeCell="B24" sqref="B24"/>
    </sheetView>
  </sheetViews>
  <sheetFormatPr defaultRowHeight="15"/>
  <cols>
    <col min="1" max="1" width="9.140625" style="27"/>
    <col min="2" max="2" width="26" style="27" customWidth="1"/>
    <col min="3" max="3" width="53.85546875" style="27" customWidth="1"/>
    <col min="4" max="4" width="27.85546875" style="27" customWidth="1"/>
    <col min="5" max="5" width="41" style="27" bestFit="1" customWidth="1"/>
    <col min="6" max="6" width="59" style="27" bestFit="1" customWidth="1"/>
    <col min="7" max="7" width="9.140625" style="27"/>
    <col min="8" max="8" width="39.7109375" style="27" customWidth="1"/>
    <col min="9" max="9" width="43.42578125" style="27" customWidth="1"/>
    <col min="10" max="16384" width="9.140625" style="27"/>
  </cols>
  <sheetData>
    <row r="4" spans="1:13" ht="31.5">
      <c r="A4" s="529" t="s">
        <v>231</v>
      </c>
    </row>
    <row r="6" spans="1:13" ht="15.75" thickBot="1"/>
    <row r="7" spans="1:13" ht="24" thickBot="1">
      <c r="B7" s="530" t="s">
        <v>271</v>
      </c>
      <c r="C7" s="200"/>
      <c r="E7" s="701" t="s">
        <v>265</v>
      </c>
      <c r="F7" s="702"/>
    </row>
    <row r="8" spans="1:13" ht="45">
      <c r="B8" s="692" t="s">
        <v>52</v>
      </c>
      <c r="C8" s="689" t="s">
        <v>266</v>
      </c>
      <c r="D8" s="200"/>
      <c r="E8" s="699" t="s">
        <v>181</v>
      </c>
      <c r="F8" s="700" t="s">
        <v>191</v>
      </c>
      <c r="K8" s="200"/>
      <c r="L8" s="200"/>
      <c r="M8" s="200"/>
    </row>
    <row r="9" spans="1:13" ht="45">
      <c r="B9" s="693" t="s">
        <v>48</v>
      </c>
      <c r="C9" s="690" t="s">
        <v>267</v>
      </c>
      <c r="D9" s="211"/>
      <c r="E9" s="695" t="s">
        <v>182</v>
      </c>
      <c r="F9" s="696" t="s">
        <v>190</v>
      </c>
      <c r="K9" s="211"/>
      <c r="L9" s="211"/>
      <c r="M9" s="211"/>
    </row>
    <row r="10" spans="1:13" ht="51.75" customHeight="1">
      <c r="B10" s="693" t="s">
        <v>53</v>
      </c>
      <c r="C10" s="690" t="s">
        <v>268</v>
      </c>
      <c r="D10" s="211"/>
      <c r="E10" s="695" t="s">
        <v>183</v>
      </c>
      <c r="F10" s="696" t="s">
        <v>196</v>
      </c>
      <c r="K10" s="211"/>
      <c r="L10" s="211"/>
      <c r="M10" s="211"/>
    </row>
    <row r="11" spans="1:13" ht="45">
      <c r="B11" s="693" t="s">
        <v>160</v>
      </c>
      <c r="C11" s="690" t="s">
        <v>269</v>
      </c>
      <c r="D11" s="211"/>
      <c r="E11" s="695" t="s">
        <v>184</v>
      </c>
      <c r="F11" s="696" t="s">
        <v>192</v>
      </c>
      <c r="K11" s="211"/>
      <c r="L11" s="211"/>
      <c r="M11" s="211"/>
    </row>
    <row r="12" spans="1:13" ht="60.75" thickBot="1">
      <c r="B12" s="694" t="s">
        <v>54</v>
      </c>
      <c r="C12" s="691" t="s">
        <v>270</v>
      </c>
      <c r="D12" s="211"/>
      <c r="E12" s="695" t="s">
        <v>185</v>
      </c>
      <c r="F12" s="696" t="s">
        <v>193</v>
      </c>
      <c r="K12" s="211"/>
      <c r="L12" s="211"/>
      <c r="M12" s="211"/>
    </row>
    <row r="13" spans="1:13" ht="45.75" customHeight="1" thickBot="1">
      <c r="D13" s="200"/>
      <c r="E13" s="695" t="s">
        <v>186</v>
      </c>
      <c r="F13" s="696" t="s">
        <v>197</v>
      </c>
      <c r="K13" s="200"/>
      <c r="L13" s="200"/>
      <c r="M13" s="200"/>
    </row>
    <row r="14" spans="1:13" ht="66.75" customHeight="1" thickBot="1">
      <c r="B14" s="657" t="s">
        <v>272</v>
      </c>
      <c r="C14" s="658"/>
      <c r="E14" s="695" t="s">
        <v>187</v>
      </c>
      <c r="F14" s="696" t="s">
        <v>194</v>
      </c>
    </row>
    <row r="15" spans="1:13" ht="50.25" customHeight="1" thickBot="1">
      <c r="E15" s="697" t="s">
        <v>188</v>
      </c>
      <c r="F15" s="698" t="s">
        <v>195</v>
      </c>
    </row>
    <row r="16" spans="1:13" ht="56.25" customHeight="1"/>
    <row r="17" spans="3:3">
      <c r="C17" s="528"/>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B1:M109"/>
  <sheetViews>
    <sheetView zoomScale="75" zoomScaleNormal="75" workbookViewId="0">
      <selection activeCell="E6" sqref="E6"/>
    </sheetView>
  </sheetViews>
  <sheetFormatPr defaultRowHeight="15"/>
  <cols>
    <col min="2" max="2" width="37" customWidth="1"/>
    <col min="3" max="6" width="30.7109375" customWidth="1"/>
    <col min="9" max="9" width="40.7109375" customWidth="1"/>
    <col min="10" max="13" width="30.7109375" customWidth="1"/>
  </cols>
  <sheetData>
    <row r="1" spans="2:13" s="92" customFormat="1" ht="15.75" thickBot="1"/>
    <row r="2" spans="2:13" s="92" customFormat="1">
      <c r="B2" s="213"/>
      <c r="C2" s="197"/>
      <c r="D2" s="197"/>
      <c r="E2" s="197"/>
      <c r="F2" s="198"/>
      <c r="I2" s="213"/>
      <c r="J2" s="197"/>
      <c r="K2" s="197"/>
      <c r="L2" s="197"/>
      <c r="M2" s="198"/>
    </row>
    <row r="3" spans="2:13" s="92" customFormat="1" ht="23.25">
      <c r="B3" s="234" t="s">
        <v>121</v>
      </c>
      <c r="C3" s="200"/>
      <c r="D3" s="200"/>
      <c r="E3" s="200"/>
      <c r="F3" s="201"/>
      <c r="I3" s="234" t="s">
        <v>274</v>
      </c>
      <c r="J3" s="200"/>
      <c r="K3" s="200"/>
      <c r="L3" s="200"/>
      <c r="M3" s="201"/>
    </row>
    <row r="4" spans="2:13" s="92" customFormat="1" ht="23.25">
      <c r="B4" s="199"/>
      <c r="C4" s="200"/>
      <c r="D4" s="200"/>
      <c r="E4" s="200"/>
      <c r="F4" s="201"/>
      <c r="I4" s="659" t="s">
        <v>273</v>
      </c>
      <c r="J4" s="200"/>
      <c r="K4" s="200"/>
      <c r="L4" s="200"/>
      <c r="M4" s="201"/>
    </row>
    <row r="5" spans="2:13" s="92" customFormat="1">
      <c r="B5" s="199" t="s">
        <v>209</v>
      </c>
      <c r="C5" s="200"/>
      <c r="D5" s="200"/>
      <c r="E5" s="200"/>
      <c r="F5" s="201"/>
      <c r="I5" s="199" t="s">
        <v>122</v>
      </c>
      <c r="J5" s="200"/>
      <c r="K5" s="200"/>
      <c r="L5" s="200"/>
      <c r="M5" s="201"/>
    </row>
    <row r="6" spans="2:13" s="92" customFormat="1">
      <c r="B6" s="199" t="s">
        <v>123</v>
      </c>
      <c r="C6" s="200"/>
      <c r="D6" s="200"/>
      <c r="E6" s="683" t="s">
        <v>279</v>
      </c>
      <c r="F6" s="660"/>
      <c r="I6" s="199" t="s">
        <v>123</v>
      </c>
      <c r="J6" s="200"/>
      <c r="K6" s="200"/>
      <c r="L6" s="683" t="s">
        <v>279</v>
      </c>
      <c r="M6" s="660"/>
    </row>
    <row r="7" spans="2:13" s="92" customFormat="1" ht="15.75" thickBot="1">
      <c r="B7" s="203"/>
      <c r="C7" s="204"/>
      <c r="D7" s="204"/>
      <c r="E7" s="204"/>
      <c r="F7" s="205"/>
      <c r="I7" s="203"/>
      <c r="J7" s="204"/>
      <c r="K7" s="204"/>
      <c r="L7" s="204"/>
      <c r="M7" s="205"/>
    </row>
    <row r="8" spans="2:13" s="92" customFormat="1" ht="18" customHeight="1">
      <c r="M8"/>
    </row>
    <row r="9" spans="2:13" s="92" customFormat="1" ht="18" customHeight="1" thickBot="1">
      <c r="M9"/>
    </row>
    <row r="10" spans="2:13" s="92" customFormat="1" ht="24" thickBot="1">
      <c r="B10" s="285" t="s">
        <v>244</v>
      </c>
      <c r="C10" s="284"/>
      <c r="D10" s="284"/>
      <c r="E10" s="282"/>
      <c r="F10" s="547"/>
      <c r="I10" s="285" t="s">
        <v>244</v>
      </c>
      <c r="J10" s="284"/>
      <c r="K10" s="284"/>
      <c r="L10" s="282"/>
      <c r="M10" s="282"/>
    </row>
    <row r="11" spans="2:13" s="92" customFormat="1" ht="18" customHeight="1" thickBot="1">
      <c r="B11" s="93"/>
      <c r="C11" s="93"/>
      <c r="D11" s="93"/>
      <c r="E11" s="93"/>
      <c r="F11" s="548"/>
      <c r="I11" s="93"/>
      <c r="J11" s="93"/>
      <c r="K11" s="93"/>
      <c r="L11" s="93"/>
      <c r="M11" s="93"/>
    </row>
    <row r="12" spans="2:13" s="92" customFormat="1" ht="18" customHeight="1">
      <c r="B12" s="603"/>
      <c r="C12" s="457" t="s">
        <v>47</v>
      </c>
      <c r="D12" s="457" t="s">
        <v>72</v>
      </c>
      <c r="E12" s="457" t="s">
        <v>71</v>
      </c>
      <c r="F12" s="604" t="s">
        <v>233</v>
      </c>
      <c r="I12" s="603"/>
      <c r="J12" s="457" t="s">
        <v>47</v>
      </c>
      <c r="K12" s="457" t="s">
        <v>72</v>
      </c>
      <c r="L12" s="457" t="s">
        <v>71</v>
      </c>
      <c r="M12" s="604" t="s">
        <v>233</v>
      </c>
    </row>
    <row r="13" spans="2:13" s="92" customFormat="1" ht="18" customHeight="1">
      <c r="B13" s="605" t="s">
        <v>181</v>
      </c>
      <c r="C13" s="473">
        <f>'EU27_35%_2015_0%_2021'!D113</f>
        <v>-32011515.297061708</v>
      </c>
      <c r="D13" s="473">
        <f>'EU27_35%_2015_0%_2021'!E113</f>
        <v>-18761243.998424925</v>
      </c>
      <c r="E13" s="473">
        <f>'EU27_35%_2015_0%_2021'!F113</f>
        <v>2896306.858587293</v>
      </c>
      <c r="F13" s="474">
        <f>'EU27_35%_2015_0%_2021'!G113</f>
        <v>44917092.925019324</v>
      </c>
      <c r="I13" s="605" t="s">
        <v>181</v>
      </c>
      <c r="J13" s="473">
        <f>'EU27_35%_2015_0%_2021'!$C$228+'EU27_35%_2015_0%_2021'!D113</f>
        <v>95829981.723326132</v>
      </c>
      <c r="K13" s="473">
        <f>'EU27_35%_2015_0%_2021'!E113+'EU27_35%_2015_0%_2021'!$D$228</f>
        <v>176279406.68755242</v>
      </c>
      <c r="L13" s="473">
        <f>'EU27_35%_2015_0%_2021'!$E$228+'EU27_35%_2015_0%_2021'!F113</f>
        <v>283256665.23137838</v>
      </c>
      <c r="M13" s="474">
        <f>'EU27_35%_2015_0%_2021'!G113+'EU27_35%_2015_0%_2021'!$F$228</f>
        <v>465809234.8047964</v>
      </c>
    </row>
    <row r="14" spans="2:13" s="92" customFormat="1" ht="18" customHeight="1">
      <c r="B14" s="605" t="s">
        <v>182</v>
      </c>
      <c r="C14" s="473">
        <f>'EU27_35%_2015_0%_2021'!D114</f>
        <v>99200294.440560684</v>
      </c>
      <c r="D14" s="473">
        <f>'EU27_35%_2015_0%_2021'!E114</f>
        <v>181421305.05940753</v>
      </c>
      <c r="E14" s="473">
        <f>'EU27_35%_2015_0%_2021'!F114</f>
        <v>290647865.29751629</v>
      </c>
      <c r="F14" s="474">
        <f>'EU27_35%_2015_0%_2021'!G114</f>
        <v>476905304.32387644</v>
      </c>
      <c r="I14" s="605" t="s">
        <v>182</v>
      </c>
      <c r="J14" s="473">
        <f>'EU27_35%_2015_0%_2021'!$C$228+'EU27_35%_2015_0%_2021'!D114</f>
        <v>227041791.46094853</v>
      </c>
      <c r="K14" s="473">
        <f>'EU27_35%_2015_0%_2021'!E114+'EU27_35%_2015_0%_2021'!$D$228</f>
        <v>376461955.74538487</v>
      </c>
      <c r="L14" s="473">
        <f>'EU27_35%_2015_0%_2021'!$E$228+'EU27_35%_2015_0%_2021'!F114</f>
        <v>571008223.6703074</v>
      </c>
      <c r="M14" s="474">
        <f>'EU27_35%_2015_0%_2021'!G114+'EU27_35%_2015_0%_2021'!$F$228</f>
        <v>897797446.20365357</v>
      </c>
    </row>
    <row r="15" spans="2:13" s="92" customFormat="1" ht="18" customHeight="1">
      <c r="B15" s="605" t="s">
        <v>183</v>
      </c>
      <c r="C15" s="473">
        <f>'EU27_35%_2015_0%_2021'!D115</f>
        <v>-40901887.496117875</v>
      </c>
      <c r="D15" s="473">
        <f>'EU27_35%_2015_0%_2021'!E115</f>
        <v>-28695095.258389823</v>
      </c>
      <c r="E15" s="473">
        <f>'EU27_35%_2015_0%_2021'!F115</f>
        <v>-8044155.7472005337</v>
      </c>
      <c r="F15" s="474">
        <f>'EU27_35%_2015_0%_2021'!G115</f>
        <v>32694731.100182354</v>
      </c>
      <c r="I15" s="605" t="s">
        <v>183</v>
      </c>
      <c r="J15" s="473">
        <f>'EU27_35%_2015_0%_2021'!$C$228+'EU27_35%_2015_0%_2021'!D115</f>
        <v>86939609.524269968</v>
      </c>
      <c r="K15" s="473">
        <f>'EU27_35%_2015_0%_2021'!E115+'EU27_35%_2015_0%_2021'!$D$228</f>
        <v>166345555.42758751</v>
      </c>
      <c r="L15" s="473">
        <f>'EU27_35%_2015_0%_2021'!$E$228+'EU27_35%_2015_0%_2021'!F115</f>
        <v>272316202.62559056</v>
      </c>
      <c r="M15" s="474">
        <f>'EU27_35%_2015_0%_2021'!G115+'EU27_35%_2015_0%_2021'!$F$228</f>
        <v>453586872.97995943</v>
      </c>
    </row>
    <row r="16" spans="2:13" s="92" customFormat="1" ht="18" customHeight="1">
      <c r="B16" s="605" t="s">
        <v>184</v>
      </c>
      <c r="C16" s="473">
        <f>'EU27_35%_2015_0%_2021'!D116</f>
        <v>90309922.24150452</v>
      </c>
      <c r="D16" s="473">
        <f>'EU27_35%_2015_0%_2021'!E116</f>
        <v>171487453.79944268</v>
      </c>
      <c r="E16" s="473">
        <f>'EU27_35%_2015_0%_2021'!F116</f>
        <v>279707402.69172847</v>
      </c>
      <c r="F16" s="474">
        <f>'EU27_35%_2015_0%_2021'!G116</f>
        <v>464682942.49903947</v>
      </c>
      <c r="I16" s="605" t="s">
        <v>184</v>
      </c>
      <c r="J16" s="473">
        <f>'EU27_35%_2015_0%_2021'!$C$228+'EU27_35%_2015_0%_2021'!D116</f>
        <v>218151419.26189238</v>
      </c>
      <c r="K16" s="473">
        <f>'EU27_35%_2015_0%_2021'!E116+'EU27_35%_2015_0%_2021'!$D$228</f>
        <v>366528104.48541999</v>
      </c>
      <c r="L16" s="473">
        <f>'EU27_35%_2015_0%_2021'!$E$228+'EU27_35%_2015_0%_2021'!F116</f>
        <v>560067761.06451964</v>
      </c>
      <c r="M16" s="474">
        <f>'EU27_35%_2015_0%_2021'!G116+'EU27_35%_2015_0%_2021'!$F$228</f>
        <v>885575084.3788166</v>
      </c>
    </row>
    <row r="17" spans="2:13" s="92" customFormat="1" ht="18" customHeight="1">
      <c r="B17" s="605" t="s">
        <v>185</v>
      </c>
      <c r="C17" s="473">
        <f>'EU27_35%_2015_0%_2021'!D117</f>
        <v>-129356769.51625311</v>
      </c>
      <c r="D17" s="473">
        <f>'EU27_35%_2015_0%_2021'!E117</f>
        <v>-137198534.10172111</v>
      </c>
      <c r="E17" s="473">
        <f>'EU27_35%_2015_0%_2021'!F117</f>
        <v>-137486297.16042179</v>
      </c>
      <c r="F17" s="474">
        <f>'EU27_35%_2015_0%_2021'!G117</f>
        <v>-125263868.79464321</v>
      </c>
      <c r="I17" s="605" t="s">
        <v>185</v>
      </c>
      <c r="J17" s="473">
        <f>'EU27_35%_2015_0%_2021'!$C$228+'EU27_35%_2015_0%_2021'!D117</f>
        <v>-1515272.4958652705</v>
      </c>
      <c r="K17" s="473">
        <f>'EU27_35%_2015_0%_2021'!E117+'EU27_35%_2015_0%_2021'!$D$228</f>
        <v>57842116.584256232</v>
      </c>
      <c r="L17" s="473">
        <f>'EU27_35%_2015_0%_2021'!$E$228+'EU27_35%_2015_0%_2021'!F117</f>
        <v>142874061.21236932</v>
      </c>
      <c r="M17" s="474">
        <f>'EU27_35%_2015_0%_2021'!G117+'EU27_35%_2015_0%_2021'!$F$228</f>
        <v>295628273.08513385</v>
      </c>
    </row>
    <row r="18" spans="2:13" s="92" customFormat="1" ht="18" customHeight="1">
      <c r="B18" s="605" t="s">
        <v>186</v>
      </c>
      <c r="C18" s="473">
        <f>'EU27_35%_2015_0%_2021'!D118</f>
        <v>1855040.2213692628</v>
      </c>
      <c r="D18" s="473">
        <f>'EU27_35%_2015_0%_2021'!E118</f>
        <v>62984014.956111357</v>
      </c>
      <c r="E18" s="473">
        <f>'EU27_35%_2015_0%_2021'!F118</f>
        <v>150265261.27850723</v>
      </c>
      <c r="F18" s="474">
        <f>'EU27_35%_2015_0%_2021'!G118</f>
        <v>306724342.60421389</v>
      </c>
      <c r="I18" s="605" t="s">
        <v>186</v>
      </c>
      <c r="J18" s="473">
        <f>'EU27_35%_2015_0%_2021'!$C$228+'EU27_35%_2015_0%_2021'!D118</f>
        <v>129696537.24175711</v>
      </c>
      <c r="K18" s="473">
        <f>'EU27_35%_2015_0%_2021'!E118+'EU27_35%_2015_0%_2021'!$D$228</f>
        <v>258024665.64208871</v>
      </c>
      <c r="L18" s="473">
        <f>'EU27_35%_2015_0%_2021'!$E$228+'EU27_35%_2015_0%_2021'!F118</f>
        <v>430625619.65129834</v>
      </c>
      <c r="M18" s="474">
        <f>'EU27_35%_2015_0%_2021'!G118+'EU27_35%_2015_0%_2021'!$F$228</f>
        <v>727616484.48399091</v>
      </c>
    </row>
    <row r="19" spans="2:13" s="92" customFormat="1" ht="18" customHeight="1">
      <c r="B19" s="605" t="s">
        <v>187</v>
      </c>
      <c r="C19" s="473">
        <f>'EU27_35%_2015_0%_2021'!D119</f>
        <v>-147137513.91436547</v>
      </c>
      <c r="D19" s="473">
        <f>'EU27_35%_2015_0%_2021'!E119</f>
        <v>-157066236.62165093</v>
      </c>
      <c r="E19" s="473">
        <f>'EU27_35%_2015_0%_2021'!F119</f>
        <v>-159367222.37199739</v>
      </c>
      <c r="F19" s="474">
        <f>'EU27_35%_2015_0%_2021'!G119</f>
        <v>-149708592.4443171</v>
      </c>
      <c r="I19" s="605" t="s">
        <v>187</v>
      </c>
      <c r="J19" s="473">
        <f>'EU27_35%_2015_0%_2021'!$C$228+'EU27_35%_2015_0%_2021'!D119</f>
        <v>-19296016.893977627</v>
      </c>
      <c r="K19" s="473">
        <f>'EU27_35%_2015_0%_2021'!E119+'EU27_35%_2015_0%_2021'!$D$228</f>
        <v>37974414.064326406</v>
      </c>
      <c r="L19" s="473">
        <f>'EU27_35%_2015_0%_2021'!$E$228+'EU27_35%_2015_0%_2021'!F119</f>
        <v>120993136.00079373</v>
      </c>
      <c r="M19" s="474">
        <f>'EU27_35%_2015_0%_2021'!G119+'EU27_35%_2015_0%_2021'!$F$228</f>
        <v>271183549.43545997</v>
      </c>
    </row>
    <row r="20" spans="2:13" s="92" customFormat="1" ht="18" customHeight="1" thickBot="1">
      <c r="B20" s="606" t="s">
        <v>188</v>
      </c>
      <c r="C20" s="475">
        <f>'EU27_35%_2015_0%_2021'!D120</f>
        <v>-15925704.176743027</v>
      </c>
      <c r="D20" s="475">
        <f>'EU27_35%_2015_0%_2021'!E120</f>
        <v>43116312.436181605</v>
      </c>
      <c r="E20" s="475">
        <f>'EU27_35%_2015_0%_2021'!F120</f>
        <v>128384336.06693158</v>
      </c>
      <c r="F20" s="607">
        <f>'EU27_35%_2015_0%_2021'!G120</f>
        <v>282279618.95454001</v>
      </c>
      <c r="I20" s="606" t="s">
        <v>188</v>
      </c>
      <c r="J20" s="475">
        <f>'EU27_35%_2015_0%_2021'!$C$228+'EU27_35%_2015_0%_2021'!D120</f>
        <v>111915792.84364481</v>
      </c>
      <c r="K20" s="475">
        <f>'EU27_35%_2015_0%_2021'!E120+'EU27_35%_2015_0%_2021'!$D$228</f>
        <v>238156963.12215894</v>
      </c>
      <c r="L20" s="475">
        <f>'EU27_35%_2015_0%_2021'!$E$228+'EU27_35%_2015_0%_2021'!F120</f>
        <v>408744694.43972266</v>
      </c>
      <c r="M20" s="607">
        <f>'EU27_35%_2015_0%_2021'!G120+'EU27_35%_2015_0%_2021'!$F$228</f>
        <v>703171760.83431709</v>
      </c>
    </row>
    <row r="21" spans="2:13" s="92" customFormat="1" ht="18" customHeight="1" thickBot="1">
      <c r="M21"/>
    </row>
    <row r="22" spans="2:13" s="92" customFormat="1" ht="24" thickBot="1">
      <c r="B22" s="285" t="s">
        <v>247</v>
      </c>
      <c r="C22" s="284"/>
      <c r="D22" s="284"/>
      <c r="E22" s="282"/>
      <c r="F22" s="282"/>
      <c r="I22" s="285" t="s">
        <v>247</v>
      </c>
      <c r="J22" s="284"/>
      <c r="K22" s="284"/>
      <c r="L22" s="282"/>
      <c r="M22" s="547"/>
    </row>
    <row r="23" spans="2:13" s="92" customFormat="1" ht="18" customHeight="1" thickBot="1">
      <c r="B23" s="93"/>
      <c r="C23" s="93"/>
      <c r="D23" s="93"/>
      <c r="E23" s="93"/>
      <c r="F23" s="93"/>
      <c r="I23" s="93"/>
      <c r="J23" s="93"/>
      <c r="K23" s="93"/>
      <c r="L23" s="93"/>
      <c r="M23" s="93"/>
    </row>
    <row r="24" spans="2:13" s="92" customFormat="1" ht="18" customHeight="1">
      <c r="B24" s="603"/>
      <c r="C24" s="457" t="s">
        <v>47</v>
      </c>
      <c r="D24" s="457" t="s">
        <v>72</v>
      </c>
      <c r="E24" s="457" t="s">
        <v>71</v>
      </c>
      <c r="F24" s="608" t="s">
        <v>233</v>
      </c>
      <c r="I24" s="603"/>
      <c r="J24" s="457" t="s">
        <v>47</v>
      </c>
      <c r="K24" s="457" t="s">
        <v>72</v>
      </c>
      <c r="L24" s="457" t="s">
        <v>71</v>
      </c>
      <c r="M24" s="608" t="s">
        <v>233</v>
      </c>
    </row>
    <row r="25" spans="2:13" s="92" customFormat="1" ht="18" customHeight="1">
      <c r="B25" s="605" t="s">
        <v>181</v>
      </c>
      <c r="C25" s="473">
        <f>'EU27_35%_2015_0%_2021'!D141</f>
        <v>-377822210.35880077</v>
      </c>
      <c r="D25" s="473">
        <f>'EU27_35%_2015_0%_2021'!E141</f>
        <v>-398278661.29684991</v>
      </c>
      <c r="E25" s="473">
        <f>'EU27_35%_2015_0%_2021'!F141</f>
        <v>-395934208.3467589</v>
      </c>
      <c r="F25" s="522">
        <f>'EU27_35%_2015_0%_2021'!G141</f>
        <v>-354947158.7364831</v>
      </c>
      <c r="I25" s="605" t="s">
        <v>181</v>
      </c>
      <c r="J25" s="473">
        <f>'EU27_35%_2015_0%_2021'!D141+'EU27_35%_2015_0%_2021'!$C$229</f>
        <v>25755200.309149265</v>
      </c>
      <c r="K25" s="473">
        <f>'EU27_35%_2015_0%_2021'!E141+'EU27_35%_2015_0%_2021'!$D$229</f>
        <v>212901154.62012285</v>
      </c>
      <c r="L25" s="473">
        <f>'EU27_35%_2015_0%_2021'!F141+'EU27_35%_2015_0%_2021'!$E$229</f>
        <v>477481465.47291869</v>
      </c>
      <c r="M25" s="522">
        <f>'EU27_35%_2015_0%_2021'!G141+'EU27_35%_2015_0%_2021'!$F$229</f>
        <v>948516545.20309591</v>
      </c>
    </row>
    <row r="26" spans="2:13" s="92" customFormat="1" ht="18" customHeight="1">
      <c r="B26" s="605" t="s">
        <v>182</v>
      </c>
      <c r="C26" s="473">
        <f>'EU27_35%_2015_0%_2021'!D142</f>
        <v>36394797.867568478</v>
      </c>
      <c r="D26" s="473">
        <f>'EU27_35%_2015_0%_2021'!E142</f>
        <v>229013818.77152529</v>
      </c>
      <c r="E26" s="473">
        <f>'EU27_35%_2015_0%_2021'!F142</f>
        <v>500507509.60972202</v>
      </c>
      <c r="F26" s="522">
        <f>'EU27_35%_2015_0%_2021'!G142</f>
        <v>982880037.4980948</v>
      </c>
      <c r="I26" s="605" t="s">
        <v>182</v>
      </c>
      <c r="J26" s="473">
        <f>'EU27_35%_2015_0%_2021'!D142+'EU27_35%_2015_0%_2021'!$C$229</f>
        <v>439972208.53551853</v>
      </c>
      <c r="K26" s="473">
        <f>'EU27_35%_2015_0%_2021'!E142+'EU27_35%_2015_0%_2021'!$D$229</f>
        <v>840193634.68849802</v>
      </c>
      <c r="L26" s="473">
        <f>'EU27_35%_2015_0%_2021'!F142+'EU27_35%_2015_0%_2021'!$E$229</f>
        <v>1373923183.4293995</v>
      </c>
      <c r="M26" s="522">
        <f>'EU27_35%_2015_0%_2021'!G142+'EU27_35%_2015_0%_2021'!$F$229</f>
        <v>2286343741.4376736</v>
      </c>
    </row>
    <row r="27" spans="2:13" s="92" customFormat="1" ht="18" customHeight="1">
      <c r="B27" s="605" t="s">
        <v>183</v>
      </c>
      <c r="C27" s="473">
        <f>'EU27_35%_2015_0%_2021'!D143</f>
        <v>-431164443.55313772</v>
      </c>
      <c r="D27" s="473">
        <f>'EU27_35%_2015_0%_2021'!E143</f>
        <v>-457881768.85663939</v>
      </c>
      <c r="E27" s="473">
        <f>'EU27_35%_2015_0%_2021'!F143</f>
        <v>-461576983.98148572</v>
      </c>
      <c r="F27" s="522">
        <f>'EU27_35%_2015_0%_2021'!G143</f>
        <v>-428281329.68550473</v>
      </c>
      <c r="I27" s="605" t="s">
        <v>183</v>
      </c>
      <c r="J27" s="473">
        <f>'EU27_35%_2015_0%_2021'!D143+'EU27_35%_2015_0%_2021'!$C$229</f>
        <v>-27587032.885187685</v>
      </c>
      <c r="K27" s="473">
        <f>'EU27_35%_2015_0%_2021'!E143+'EU27_35%_2015_0%_2021'!$D$229</f>
        <v>153298047.06033337</v>
      </c>
      <c r="L27" s="473">
        <f>'EU27_35%_2015_0%_2021'!F143+'EU27_35%_2015_0%_2021'!$E$229</f>
        <v>411838689.83819187</v>
      </c>
      <c r="M27" s="522">
        <f>'EU27_35%_2015_0%_2021'!G143+'EU27_35%_2015_0%_2021'!$F$229</f>
        <v>875182374.25407434</v>
      </c>
    </row>
    <row r="28" spans="2:13" s="92" customFormat="1" ht="18" customHeight="1">
      <c r="B28" s="605" t="s">
        <v>184</v>
      </c>
      <c r="C28" s="473">
        <f>'EU27_35%_2015_0%_2021'!D144</f>
        <v>-16947435.326768488</v>
      </c>
      <c r="D28" s="473">
        <f>'EU27_35%_2015_0%_2021'!E144</f>
        <v>169410711.21173596</v>
      </c>
      <c r="E28" s="473">
        <f>'EU27_35%_2015_0%_2021'!F144</f>
        <v>434864733.97499537</v>
      </c>
      <c r="F28" s="522">
        <f>'EU27_35%_2015_0%_2021'!G144</f>
        <v>909545866.5490731</v>
      </c>
      <c r="I28" s="605" t="s">
        <v>184</v>
      </c>
      <c r="J28" s="473">
        <f>'EU27_35%_2015_0%_2021'!D144+'EU27_35%_2015_0%_2021'!$C$229</f>
        <v>386629975.34118152</v>
      </c>
      <c r="K28" s="473">
        <f>'EU27_35%_2015_0%_2021'!E144+'EU27_35%_2015_0%_2021'!$D$229</f>
        <v>780590527.12870872</v>
      </c>
      <c r="L28" s="473">
        <f>'EU27_35%_2015_0%_2021'!F144+'EU27_35%_2015_0%_2021'!$E$229</f>
        <v>1308280407.794673</v>
      </c>
      <c r="M28" s="522">
        <f>'EU27_35%_2015_0%_2021'!G144+'EU27_35%_2015_0%_2021'!$F$229</f>
        <v>2213009570.4886522</v>
      </c>
    </row>
    <row r="29" spans="2:13" s="92" customFormat="1" ht="18" customHeight="1">
      <c r="B29" s="605" t="s">
        <v>185</v>
      </c>
      <c r="C29" s="473">
        <f>'EU27_35%_2015_0%_2021'!D145</f>
        <v>-767203227.23556614</v>
      </c>
      <c r="D29" s="473">
        <f>'EU27_35%_2015_0%_2021'!E145</f>
        <v>-872027821.71003449</v>
      </c>
      <c r="E29" s="473">
        <f>'EU27_35%_2015_0%_2021'!F145</f>
        <v>-957464624.42279482</v>
      </c>
      <c r="F29" s="522">
        <f>'EU27_35%_2015_0%_2021'!G145</f>
        <v>-1035671005.6151333</v>
      </c>
      <c r="I29" s="605" t="s">
        <v>185</v>
      </c>
      <c r="J29" s="473">
        <f>'EU27_35%_2015_0%_2021'!D145+'EU27_35%_2015_0%_2021'!$C$229</f>
        <v>-363625816.56761611</v>
      </c>
      <c r="K29" s="473">
        <f>'EU27_35%_2015_0%_2021'!E145+'EU27_35%_2015_0%_2021'!$D$229</f>
        <v>-260848005.79306173</v>
      </c>
      <c r="L29" s="473">
        <f>'EU27_35%_2015_0%_2021'!F145+'EU27_35%_2015_0%_2021'!$E$229</f>
        <v>-84048950.603117228</v>
      </c>
      <c r="M29" s="522">
        <f>'EU27_35%_2015_0%_2021'!G145+'EU27_35%_2015_0%_2021'!$F$229</f>
        <v>267792698.32444572</v>
      </c>
    </row>
    <row r="30" spans="2:13" s="92" customFormat="1" ht="18" customHeight="1">
      <c r="B30" s="605" t="s">
        <v>186</v>
      </c>
      <c r="C30" s="473">
        <f>'EU27_35%_2015_0%_2021'!D146</f>
        <v>-352986219.009197</v>
      </c>
      <c r="D30" s="473">
        <f>'EU27_35%_2015_0%_2021'!E146</f>
        <v>-244735341.6416592</v>
      </c>
      <c r="E30" s="473">
        <f>'EU27_35%_2015_0%_2021'!F146</f>
        <v>-61022906.466314122</v>
      </c>
      <c r="F30" s="522">
        <f>'EU27_35%_2015_0%_2021'!G146</f>
        <v>302156190.61944509</v>
      </c>
      <c r="I30" s="605" t="s">
        <v>186</v>
      </c>
      <c r="J30" s="473">
        <f>'EU27_35%_2015_0%_2021'!D146+'EU27_35%_2015_0%_2021'!$C$229</f>
        <v>50591191.658753037</v>
      </c>
      <c r="K30" s="473">
        <f>'EU27_35%_2015_0%_2021'!E146+'EU27_35%_2015_0%_2021'!$D$229</f>
        <v>366444474.27531356</v>
      </c>
      <c r="L30" s="473">
        <f>'EU27_35%_2015_0%_2021'!F146+'EU27_35%_2015_0%_2021'!$E$229</f>
        <v>812392767.35336351</v>
      </c>
      <c r="M30" s="522">
        <f>'EU27_35%_2015_0%_2021'!G146+'EU27_35%_2015_0%_2021'!$F$229</f>
        <v>1605619894.5590241</v>
      </c>
    </row>
    <row r="31" spans="2:13" s="92" customFormat="1" ht="18" customHeight="1">
      <c r="B31" s="605" t="s">
        <v>187</v>
      </c>
      <c r="C31" s="473">
        <f>'EU27_35%_2015_0%_2021'!D147</f>
        <v>-856106949.22612762</v>
      </c>
      <c r="D31" s="473">
        <f>'EU27_35%_2015_0%_2021'!E147</f>
        <v>-971366334.30968356</v>
      </c>
      <c r="E31" s="473">
        <f>'EU27_35%_2015_0%_2021'!F147</f>
        <v>-1066869250.4806736</v>
      </c>
      <c r="F31" s="522">
        <f>'EU27_35%_2015_0%_2021'!G147</f>
        <v>-1157894623.8635027</v>
      </c>
      <c r="I31" s="605" t="s">
        <v>187</v>
      </c>
      <c r="J31" s="473">
        <f>'EU27_35%_2015_0%_2021'!D147+'EU27_35%_2015_0%_2021'!$C$229</f>
        <v>-452529538.55817759</v>
      </c>
      <c r="K31" s="473">
        <f>'EU27_35%_2015_0%_2021'!E147+'EU27_35%_2015_0%_2021'!$D$229</f>
        <v>-360186518.3927108</v>
      </c>
      <c r="L31" s="473">
        <f>'EU27_35%_2015_0%_2021'!F147+'EU27_35%_2015_0%_2021'!$E$229</f>
        <v>-193453576.66099596</v>
      </c>
      <c r="M31" s="522">
        <f>'EU27_35%_2015_0%_2021'!G147+'EU27_35%_2015_0%_2021'!$F$229</f>
        <v>145569080.07607627</v>
      </c>
    </row>
    <row r="32" spans="2:13" s="92" customFormat="1" ht="18" customHeight="1" thickBot="1">
      <c r="B32" s="606" t="s">
        <v>188</v>
      </c>
      <c r="C32" s="475">
        <f>'EU27_35%_2015_0%_2021'!D148</f>
        <v>-441889940.99975872</v>
      </c>
      <c r="D32" s="475">
        <f>'EU27_35%_2015_0%_2021'!E148</f>
        <v>-344073854.24130821</v>
      </c>
      <c r="E32" s="475">
        <f>'EU27_35%_2015_0%_2021'!F148</f>
        <v>-170427532.52419215</v>
      </c>
      <c r="F32" s="609">
        <f>'EU27_35%_2015_0%_2021'!G148</f>
        <v>179932572.37107524</v>
      </c>
      <c r="I32" s="606" t="s">
        <v>188</v>
      </c>
      <c r="J32" s="475">
        <f>'EU27_35%_2015_0%_2021'!D148+'EU27_35%_2015_0%_2021'!$C$229</f>
        <v>-38312530.331808686</v>
      </c>
      <c r="K32" s="475">
        <f>'EU27_35%_2015_0%_2021'!E148+'EU27_35%_2015_0%_2021'!$D$229</f>
        <v>267105961.67566454</v>
      </c>
      <c r="L32" s="475">
        <f>'EU27_35%_2015_0%_2021'!F148+'EU27_35%_2015_0%_2021'!$E$229</f>
        <v>702988141.2954855</v>
      </c>
      <c r="M32" s="609">
        <f>'EU27_35%_2015_0%_2021'!G148+'EU27_35%_2015_0%_2021'!$F$229</f>
        <v>1483396276.3106542</v>
      </c>
    </row>
    <row r="33" spans="2:13" s="92" customFormat="1" ht="18" customHeight="1" thickBot="1"/>
    <row r="34" spans="2:13" s="92" customFormat="1" ht="24" thickBot="1">
      <c r="B34" s="285" t="s">
        <v>254</v>
      </c>
      <c r="C34" s="284"/>
      <c r="D34" s="284"/>
      <c r="E34" s="282"/>
      <c r="F34" s="283"/>
      <c r="I34" s="285" t="s">
        <v>254</v>
      </c>
      <c r="J34" s="284"/>
      <c r="K34" s="284"/>
      <c r="L34" s="282"/>
      <c r="M34" s="547"/>
    </row>
    <row r="35" spans="2:13" s="92" customFormat="1" ht="18" customHeight="1" thickBot="1">
      <c r="B35" s="610"/>
      <c r="C35" s="93"/>
      <c r="D35" s="93"/>
      <c r="E35" s="93"/>
      <c r="F35" s="94"/>
      <c r="I35" s="93"/>
      <c r="J35" s="93"/>
      <c r="K35" s="93"/>
      <c r="L35" s="93"/>
      <c r="M35" s="548"/>
    </row>
    <row r="36" spans="2:13" s="92" customFormat="1" ht="18" customHeight="1">
      <c r="B36" s="603"/>
      <c r="C36" s="457" t="s">
        <v>47</v>
      </c>
      <c r="D36" s="457" t="s">
        <v>72</v>
      </c>
      <c r="E36" s="457" t="s">
        <v>71</v>
      </c>
      <c r="F36" s="604" t="s">
        <v>233</v>
      </c>
      <c r="I36" s="603"/>
      <c r="J36" s="457" t="s">
        <v>47</v>
      </c>
      <c r="K36" s="457" t="s">
        <v>72</v>
      </c>
      <c r="L36" s="457" t="s">
        <v>71</v>
      </c>
      <c r="M36" s="608" t="s">
        <v>233</v>
      </c>
    </row>
    <row r="37" spans="2:13" s="92" customFormat="1" ht="18" customHeight="1">
      <c r="B37" s="605" t="s">
        <v>181</v>
      </c>
      <c r="C37" s="473">
        <f>'EU27_35%_2015_0%_2021'!D169</f>
        <v>-222230101.31500623</v>
      </c>
      <c r="D37" s="473">
        <f>'EU27_35%_2015_0%_2021'!E169</f>
        <v>-144830641.7072435</v>
      </c>
      <c r="E37" s="473">
        <f>'EU27_35%_2015_0%_2021'!F169</f>
        <v>-14262771.148990445</v>
      </c>
      <c r="F37" s="474">
        <f>'EU27_35%_2015_0%_2021'!G169</f>
        <v>243349713.08876124</v>
      </c>
      <c r="I37" s="605" t="s">
        <v>181</v>
      </c>
      <c r="J37" s="473">
        <f>'EU27_35%_2015_0%_2021'!D169+'EU27_35%_2015_0%_2021'!$C$230</f>
        <v>485801462.33546424</v>
      </c>
      <c r="K37" s="473">
        <f>'EU27_35%_2015_0%_2021'!E169+'EU27_35%_2015_0%_2021'!$D$230</f>
        <v>962282435.88646221</v>
      </c>
      <c r="L37" s="473">
        <f>'EU27_35%_2015_0%_2021'!F169+'EU27_35%_2015_0%_2021'!$E$230</f>
        <v>1605986754.6172576</v>
      </c>
      <c r="M37" s="522">
        <f>'EU27_35%_2015_0%_2021'!G169+'EU27_35%_2015_0%_2021'!$F$230</f>
        <v>2717528104.7017078</v>
      </c>
    </row>
    <row r="38" spans="2:13" ht="18.75">
      <c r="B38" s="605" t="s">
        <v>182</v>
      </c>
      <c r="C38" s="473">
        <f>'EU27_35%_2015_0%_2021'!D170</f>
        <v>504467449.81833982</v>
      </c>
      <c r="D38" s="473">
        <f>'EU27_35%_2015_0%_2021'!E170</f>
        <v>991469494.64122343</v>
      </c>
      <c r="E38" s="473">
        <f>'EU27_35%_2015_0%_2021'!F170</f>
        <v>1648701739.2588437</v>
      </c>
      <c r="F38" s="474">
        <f>'EU27_35%_2015_0%_2021'!G170</f>
        <v>2782755398.5954123</v>
      </c>
      <c r="I38" s="605" t="s">
        <v>182</v>
      </c>
      <c r="J38" s="473">
        <f>'EU27_35%_2015_0%_2021'!D170+'EU27_35%_2015_0%_2021'!$C$230</f>
        <v>1212499013.4688103</v>
      </c>
      <c r="K38" s="473">
        <f>'EU27_35%_2015_0%_2021'!E170+'EU27_35%_2015_0%_2021'!$D$230</f>
        <v>2098582572.2349291</v>
      </c>
      <c r="L38" s="473">
        <f>'EU27_35%_2015_0%_2021'!F170+'EU27_35%_2015_0%_2021'!$E$230</f>
        <v>3268951265.0250916</v>
      </c>
      <c r="M38" s="522">
        <f>'EU27_35%_2015_0%_2021'!G170+'EU27_35%_2015_0%_2021'!$F$230</f>
        <v>5256933790.2083588</v>
      </c>
    </row>
    <row r="39" spans="2:13" ht="18.75">
      <c r="B39" s="605" t="s">
        <v>183</v>
      </c>
      <c r="C39" s="473">
        <f>'EU27_35%_2015_0%_2021'!D171</f>
        <v>-275572334.50934315</v>
      </c>
      <c r="D39" s="473">
        <f>'EU27_35%_2015_0%_2021'!E171</f>
        <v>-204433749.26703292</v>
      </c>
      <c r="E39" s="473">
        <f>'EU27_35%_2015_0%_2021'!F171</f>
        <v>-79905546.783717349</v>
      </c>
      <c r="F39" s="474">
        <f>'EU27_35%_2015_0%_2021'!G171</f>
        <v>170015542.13973957</v>
      </c>
      <c r="I39" s="605" t="s">
        <v>183</v>
      </c>
      <c r="J39" s="473">
        <f>'EU27_35%_2015_0%_2021'!D171+'EU27_35%_2015_0%_2021'!$C$230</f>
        <v>432459229.14112735</v>
      </c>
      <c r="K39" s="473">
        <f>'EU27_35%_2015_0%_2021'!E171+'EU27_35%_2015_0%_2021'!$D$230</f>
        <v>902679328.32667279</v>
      </c>
      <c r="L39" s="473">
        <f>'EU27_35%_2015_0%_2021'!F171+'EU27_35%_2015_0%_2021'!$E$230</f>
        <v>1540343978.9825306</v>
      </c>
      <c r="M39" s="522">
        <f>'EU27_35%_2015_0%_2021'!G171+'EU27_35%_2015_0%_2021'!$F$230</f>
        <v>2644193933.752686</v>
      </c>
    </row>
    <row r="40" spans="2:13" ht="18.75">
      <c r="B40" s="605" t="s">
        <v>184</v>
      </c>
      <c r="C40" s="473">
        <f>'EU27_35%_2015_0%_2021'!D172</f>
        <v>451125216.62400293</v>
      </c>
      <c r="D40" s="473">
        <f>'EU27_35%_2015_0%_2021'!E172</f>
        <v>931866387.08143413</v>
      </c>
      <c r="E40" s="473">
        <f>'EU27_35%_2015_0%_2021'!F172</f>
        <v>1583058963.6241164</v>
      </c>
      <c r="F40" s="474">
        <f>'EU27_35%_2015_0%_2021'!G172</f>
        <v>2709421227.6463904</v>
      </c>
      <c r="I40" s="605" t="s">
        <v>184</v>
      </c>
      <c r="J40" s="473">
        <f>'EU27_35%_2015_0%_2021'!D172+'EU27_35%_2015_0%_2021'!$C$230</f>
        <v>1159156780.2744734</v>
      </c>
      <c r="K40" s="473">
        <f>'EU27_35%_2015_0%_2021'!E172+'EU27_35%_2015_0%_2021'!$D$230</f>
        <v>2038979464.6751399</v>
      </c>
      <c r="L40" s="473">
        <f>'EU27_35%_2015_0%_2021'!F172+'EU27_35%_2015_0%_2021'!$E$230</f>
        <v>3203308489.3903646</v>
      </c>
      <c r="M40" s="522">
        <f>'EU27_35%_2015_0%_2021'!G172+'EU27_35%_2015_0%_2021'!$F$230</f>
        <v>5183599619.2593365</v>
      </c>
    </row>
    <row r="41" spans="2:13" ht="18.75">
      <c r="B41" s="605" t="s">
        <v>185</v>
      </c>
      <c r="C41" s="473">
        <f>'EU27_35%_2015_0%_2021'!D173</f>
        <v>-611611118.19177163</v>
      </c>
      <c r="D41" s="473">
        <f>'EU27_35%_2015_0%_2021'!E173</f>
        <v>-618579802.12042844</v>
      </c>
      <c r="E41" s="473">
        <f>'EU27_35%_2015_0%_2021'!F173</f>
        <v>-575793187.22502661</v>
      </c>
      <c r="F41" s="474">
        <f>'EU27_35%_2015_0%_2021'!G173</f>
        <v>-437374133.78988874</v>
      </c>
      <c r="I41" s="605" t="s">
        <v>185</v>
      </c>
      <c r="J41" s="473">
        <f>'EU27_35%_2015_0%_2021'!D173+'EU27_35%_2015_0%_2021'!$C$230</f>
        <v>96420445.458698869</v>
      </c>
      <c r="K41" s="473">
        <f>'EU27_35%_2015_0%_2021'!E173+'EU27_35%_2015_0%_2021'!$D$230</f>
        <v>488533275.47327721</v>
      </c>
      <c r="L41" s="473">
        <f>'EU27_35%_2015_0%_2021'!F173+'EU27_35%_2015_0%_2021'!$E$230</f>
        <v>1044456338.5412214</v>
      </c>
      <c r="M41" s="522">
        <f>'EU27_35%_2015_0%_2021'!G173+'EU27_35%_2015_0%_2021'!$F$230</f>
        <v>2036804257.8230577</v>
      </c>
    </row>
    <row r="42" spans="2:13" ht="18.75">
      <c r="B42" s="605" t="s">
        <v>186</v>
      </c>
      <c r="C42" s="473">
        <f>'EU27_35%_2015_0%_2021'!D174</f>
        <v>115086432.94157447</v>
      </c>
      <c r="D42" s="473">
        <f>'EU27_35%_2015_0%_2021'!E174</f>
        <v>517720334.22803879</v>
      </c>
      <c r="E42" s="473">
        <f>'EU27_35%_2015_0%_2021'!F174</f>
        <v>1087171323.1828074</v>
      </c>
      <c r="F42" s="474">
        <f>'EU27_35%_2015_0%_2021'!G174</f>
        <v>2102031551.7167621</v>
      </c>
      <c r="I42" s="605" t="s">
        <v>186</v>
      </c>
      <c r="J42" s="473">
        <f>'EU27_35%_2015_0%_2021'!D174+'EU27_35%_2015_0%_2021'!$C$230</f>
        <v>823117996.59204495</v>
      </c>
      <c r="K42" s="473">
        <f>'EU27_35%_2015_0%_2021'!E174+'EU27_35%_2015_0%_2021'!$D$230</f>
        <v>1624833411.8217444</v>
      </c>
      <c r="L42" s="473">
        <f>'EU27_35%_2015_0%_2021'!F174+'EU27_35%_2015_0%_2021'!$E$230</f>
        <v>2707420848.9490557</v>
      </c>
      <c r="M42" s="522">
        <f>'EU27_35%_2015_0%_2021'!G174+'EU27_35%_2015_0%_2021'!$F$230</f>
        <v>4576209943.3297081</v>
      </c>
    </row>
    <row r="43" spans="2:13" ht="18.75">
      <c r="B43" s="605" t="s">
        <v>187</v>
      </c>
      <c r="C43" s="473">
        <f>'EU27_35%_2015_0%_2021'!D175</f>
        <v>-700514840.18233335</v>
      </c>
      <c r="D43" s="473">
        <f>'EU27_35%_2015_0%_2021'!E175</f>
        <v>-717918314.7200774</v>
      </c>
      <c r="E43" s="473">
        <f>'EU27_35%_2015_0%_2021'!F175</f>
        <v>-685197813.28290474</v>
      </c>
      <c r="F43" s="474">
        <f>'EU27_35%_2015_0%_2021'!G175</f>
        <v>-559597752.03825855</v>
      </c>
      <c r="I43" s="605" t="s">
        <v>187</v>
      </c>
      <c r="J43" s="473">
        <f>'EU27_35%_2015_0%_2021'!D175+'EU27_35%_2015_0%_2021'!$C$230</f>
        <v>7516723.468137145</v>
      </c>
      <c r="K43" s="473">
        <f>'EU27_35%_2015_0%_2021'!E175+'EU27_35%_2015_0%_2021'!$D$230</f>
        <v>389194762.87362826</v>
      </c>
      <c r="L43" s="473">
        <f>'EU27_35%_2015_0%_2021'!F175+'EU27_35%_2015_0%_2021'!$E$230</f>
        <v>935051712.48334324</v>
      </c>
      <c r="M43" s="522">
        <f>'EU27_35%_2015_0%_2021'!G175+'EU27_35%_2015_0%_2021'!$F$230</f>
        <v>1914580639.574688</v>
      </c>
    </row>
    <row r="44" spans="2:13" ht="19.5" thickBot="1">
      <c r="B44" s="606" t="s">
        <v>188</v>
      </c>
      <c r="C44" s="475">
        <f>'EU27_35%_2015_0%_2021'!D176</f>
        <v>26182710.95101282</v>
      </c>
      <c r="D44" s="475">
        <f>'EU27_35%_2015_0%_2021'!E176</f>
        <v>418381821.62838978</v>
      </c>
      <c r="E44" s="475">
        <f>'EU27_35%_2015_0%_2021'!F176</f>
        <v>977766697.12492919</v>
      </c>
      <c r="F44" s="607">
        <f>'EU27_35%_2015_0%_2021'!G176</f>
        <v>1979807933.4683924</v>
      </c>
      <c r="I44" s="606" t="s">
        <v>188</v>
      </c>
      <c r="J44" s="475">
        <f>'EU27_35%_2015_0%_2021'!D176+'EU27_35%_2015_0%_2021'!$C$230</f>
        <v>734214274.60148335</v>
      </c>
      <c r="K44" s="475">
        <f>'EU27_35%_2015_0%_2021'!E176+'EU27_35%_2015_0%_2021'!$D$230</f>
        <v>1525494899.2220955</v>
      </c>
      <c r="L44" s="475">
        <f>'EU27_35%_2015_0%_2021'!F176+'EU27_35%_2015_0%_2021'!$E$230</f>
        <v>2598016222.8911772</v>
      </c>
      <c r="M44" s="609">
        <f>'EU27_35%_2015_0%_2021'!G176+'EU27_35%_2015_0%_2021'!$F$230</f>
        <v>4453986325.0813389</v>
      </c>
    </row>
    <row r="45" spans="2:13">
      <c r="I45" s="92"/>
      <c r="J45" s="92"/>
      <c r="K45" s="92"/>
      <c r="L45" s="92"/>
    </row>
    <row r="46" spans="2:13" ht="15.75" thickBot="1">
      <c r="I46" s="92"/>
      <c r="J46" s="92"/>
      <c r="K46" s="92"/>
      <c r="L46" s="92"/>
    </row>
    <row r="47" spans="2:13" ht="24" thickBot="1">
      <c r="B47" s="285" t="s">
        <v>255</v>
      </c>
      <c r="C47" s="284"/>
      <c r="D47" s="284"/>
      <c r="E47" s="282"/>
      <c r="F47" s="283"/>
      <c r="I47" s="285" t="s">
        <v>255</v>
      </c>
      <c r="J47" s="284"/>
      <c r="K47" s="284"/>
      <c r="L47" s="282"/>
      <c r="M47" s="547"/>
    </row>
    <row r="48" spans="2:13" ht="19.5" thickBot="1">
      <c r="B48" s="93"/>
      <c r="C48" s="93"/>
      <c r="D48" s="93"/>
      <c r="E48" s="93"/>
      <c r="F48" s="93"/>
      <c r="I48" s="93"/>
      <c r="J48" s="93"/>
      <c r="K48" s="93"/>
      <c r="L48" s="93"/>
      <c r="M48" s="548"/>
    </row>
    <row r="49" spans="2:13" ht="18.75">
      <c r="B49" s="603"/>
      <c r="C49" s="457" t="s">
        <v>47</v>
      </c>
      <c r="D49" s="457" t="s">
        <v>72</v>
      </c>
      <c r="E49" s="457" t="s">
        <v>71</v>
      </c>
      <c r="F49" s="604" t="s">
        <v>233</v>
      </c>
      <c r="I49" s="603"/>
      <c r="J49" s="457" t="s">
        <v>47</v>
      </c>
      <c r="K49" s="457" t="s">
        <v>72</v>
      </c>
      <c r="L49" s="457" t="s">
        <v>71</v>
      </c>
      <c r="M49" s="608" t="s">
        <v>233</v>
      </c>
    </row>
    <row r="50" spans="2:13" ht="18.75">
      <c r="B50" s="605" t="s">
        <v>181</v>
      </c>
      <c r="C50" s="473">
        <f>'EU27_35%_2015_0%_2021'!D197</f>
        <v>-565315378.97936523</v>
      </c>
      <c r="D50" s="473">
        <f>'EU27_35%_2015_0%_2021'!E197</f>
        <v>-506771229.78209716</v>
      </c>
      <c r="E50" s="473">
        <f>'EU27_35%_2015_0%_2021'!F197</f>
        <v>-392203883.50450855</v>
      </c>
      <c r="F50" s="474">
        <f>'EU27_35%_2015_0%_2021'!G197</f>
        <v>-152469211.16217792</v>
      </c>
      <c r="I50" s="605" t="s">
        <v>181</v>
      </c>
      <c r="J50" s="473">
        <f>'EU27_35%_2015_0%_2021'!D197+'EU27_35%_2015_0%_2021'!$C$231</f>
        <v>152634024.55778801</v>
      </c>
      <c r="K50" s="473">
        <f>'EU27_35%_2015_0%_2021'!E197+'EU27_35%_2015_0%_2021'!$D$231</f>
        <v>611097365.6049993</v>
      </c>
      <c r="L50" s="473">
        <f>'EU27_35%_2015_0%_2021'!F197+'EU27_35%_2015_0%_2021'!$E$231</f>
        <v>1239520512.0118921</v>
      </c>
      <c r="M50" s="522">
        <f>'EU27_35%_2015_0%_2021'!G197+'EU27_35%_2015_0%_2021'!$F$231</f>
        <v>2333996295.8208632</v>
      </c>
    </row>
    <row r="51" spans="2:13" ht="18.75">
      <c r="B51" s="605" t="s">
        <v>182</v>
      </c>
      <c r="C51" s="473">
        <f>'EU27_35%_2015_0%_2021'!D198</f>
        <v>171561478.17393538</v>
      </c>
      <c r="D51" s="473">
        <f>'EU27_35%_2015_0%_2021'!E198</f>
        <v>640567974.3747741</v>
      </c>
      <c r="E51" s="473">
        <f>'EU27_35%_2015_0%_2021'!F198</f>
        <v>1282538011.0979183</v>
      </c>
      <c r="F51" s="474">
        <f>'EU27_35%_2015_0%_2021'!G198</f>
        <v>2399547517.5639362</v>
      </c>
      <c r="I51" s="605" t="s">
        <v>182</v>
      </c>
      <c r="J51" s="473">
        <f>'EU27_35%_2015_0%_2021'!D198+'EU27_35%_2015_0%_2021'!$C$231</f>
        <v>889510881.71108866</v>
      </c>
      <c r="K51" s="473">
        <f>'EU27_35%_2015_0%_2021'!E198+'EU27_35%_2015_0%_2021'!$D$231</f>
        <v>1758436569.7618704</v>
      </c>
      <c r="L51" s="473">
        <f>'EU27_35%_2015_0%_2021'!F198+'EU27_35%_2015_0%_2021'!$E$231</f>
        <v>2914262406.6143188</v>
      </c>
      <c r="M51" s="522">
        <f>'EU27_35%_2015_0%_2021'!G198+'EU27_35%_2015_0%_2021'!$F$231</f>
        <v>4886013024.546978</v>
      </c>
    </row>
    <row r="52" spans="2:13" ht="18.75">
      <c r="B52" s="605" t="s">
        <v>183</v>
      </c>
      <c r="C52" s="473">
        <f>'EU27_35%_2015_0%_2021'!D199</f>
        <v>-667485905.09061933</v>
      </c>
      <c r="D52" s="473">
        <f>'EU27_35%_2015_0%_2021'!E199</f>
        <v>-617772661.81047928</v>
      </c>
      <c r="E52" s="473">
        <f>'EU27_35%_2015_0%_2021'!F199</f>
        <v>-511414614.94246399</v>
      </c>
      <c r="F52" s="474">
        <f>'EU27_35%_2015_0%_2021'!G199</f>
        <v>-281783705.39297593</v>
      </c>
      <c r="I52" s="605" t="s">
        <v>183</v>
      </c>
      <c r="J52" s="473">
        <f>'EU27_35%_2015_0%_2021'!D199+'EU27_35%_2015_0%_2021'!$C$231</f>
        <v>50463498.446533918</v>
      </c>
      <c r="K52" s="473">
        <f>'EU27_35%_2015_0%_2021'!E199+'EU27_35%_2015_0%_2021'!$D$231</f>
        <v>500095933.57661712</v>
      </c>
      <c r="L52" s="473">
        <f>'EU27_35%_2015_0%_2021'!F199+'EU27_35%_2015_0%_2021'!$E$231</f>
        <v>1120309780.5739365</v>
      </c>
      <c r="M52" s="522">
        <f>'EU27_35%_2015_0%_2021'!G199+'EU27_35%_2015_0%_2021'!$F$231</f>
        <v>2204681801.5900655</v>
      </c>
    </row>
    <row r="53" spans="2:13" ht="18.75">
      <c r="B53" s="605" t="s">
        <v>184</v>
      </c>
      <c r="C53" s="473">
        <f>'EU27_35%_2015_0%_2021'!D200</f>
        <v>69390952.062681198</v>
      </c>
      <c r="D53" s="473">
        <f>'EU27_35%_2015_0%_2021'!E200</f>
        <v>529566542.34639227</v>
      </c>
      <c r="E53" s="473">
        <f>'EU27_35%_2015_0%_2021'!F200</f>
        <v>1163327279.6599627</v>
      </c>
      <c r="F53" s="474">
        <f>'EU27_35%_2015_0%_2021'!G200</f>
        <v>2270233023.333138</v>
      </c>
      <c r="I53" s="605" t="s">
        <v>184</v>
      </c>
      <c r="J53" s="473">
        <f>'EU27_35%_2015_0%_2021'!D200+'EU27_35%_2015_0%_2021'!$C$231</f>
        <v>787340355.59983444</v>
      </c>
      <c r="K53" s="473">
        <f>'EU27_35%_2015_0%_2021'!E200+'EU27_35%_2015_0%_2021'!$D$231</f>
        <v>1647435137.7334886</v>
      </c>
      <c r="L53" s="473">
        <f>'EU27_35%_2015_0%_2021'!F200+'EU27_35%_2015_0%_2021'!$E$231</f>
        <v>2795051675.176363</v>
      </c>
      <c r="M53" s="522">
        <f>'EU27_35%_2015_0%_2021'!G200+'EU27_35%_2015_0%_2021'!$F$231</f>
        <v>4756698530.3161793</v>
      </c>
    </row>
    <row r="54" spans="2:13" ht="18.75">
      <c r="B54" s="605" t="s">
        <v>185</v>
      </c>
      <c r="C54" s="473">
        <f>'EU27_35%_2015_0%_2021'!D201</f>
        <v>-1024327159.108218</v>
      </c>
      <c r="D54" s="473">
        <f>'EU27_35%_2015_0%_2021'!E201</f>
        <v>-1054007835.0363315</v>
      </c>
      <c r="E54" s="473">
        <f>'EU27_35%_2015_0%_2021'!F201</f>
        <v>-1030495374.6259613</v>
      </c>
      <c r="F54" s="474">
        <f>'EU27_35%_2015_0%_2021'!G201</f>
        <v>-913612715.52455986</v>
      </c>
      <c r="I54" s="605" t="s">
        <v>185</v>
      </c>
      <c r="J54" s="473">
        <f>'EU27_35%_2015_0%_2021'!D201+'EU27_35%_2015_0%_2021'!$C$231</f>
        <v>-306377755.57106471</v>
      </c>
      <c r="K54" s="473">
        <f>'EU27_35%_2015_0%_2021'!E201+'EU27_35%_2015_0%_2021'!$D$231</f>
        <v>63860760.350764871</v>
      </c>
      <c r="L54" s="473">
        <f>'EU27_35%_2015_0%_2021'!F201+'EU27_35%_2015_0%_2021'!$E$231</f>
        <v>601229020.89043927</v>
      </c>
      <c r="M54" s="522">
        <f>'EU27_35%_2015_0%_2021'!G201+'EU27_35%_2015_0%_2021'!$F$231</f>
        <v>1572852791.4584813</v>
      </c>
    </row>
    <row r="55" spans="2:13" ht="18.75">
      <c r="B55" s="605" t="s">
        <v>186</v>
      </c>
      <c r="C55" s="473">
        <f>'EU27_35%_2015_0%_2021'!D202</f>
        <v>-287450301.95491737</v>
      </c>
      <c r="D55" s="473">
        <f>'EU27_35%_2015_0%_2021'!E202</f>
        <v>93331369.12054038</v>
      </c>
      <c r="E55" s="473">
        <f>'EU27_35%_2015_0%_2021'!F202</f>
        <v>644246519.97646546</v>
      </c>
      <c r="F55" s="474">
        <f>'EU27_35%_2015_0%_2021'!G202</f>
        <v>1638404013.2015553</v>
      </c>
      <c r="I55" s="605" t="s">
        <v>186</v>
      </c>
      <c r="J55" s="473">
        <f>'EU27_35%_2015_0%_2021'!D202+'EU27_35%_2015_0%_2021'!$C$231</f>
        <v>430499101.58223587</v>
      </c>
      <c r="K55" s="473">
        <f>'EU27_35%_2015_0%_2021'!E202+'EU27_35%_2015_0%_2021'!$D$231</f>
        <v>1211199964.5076368</v>
      </c>
      <c r="L55" s="473">
        <f>'EU27_35%_2015_0%_2021'!F202+'EU27_35%_2015_0%_2021'!$E$231</f>
        <v>2275970915.492866</v>
      </c>
      <c r="M55" s="522">
        <f>'EU27_35%_2015_0%_2021'!G202+'EU27_35%_2015_0%_2021'!$F$231</f>
        <v>4124869520.1845965</v>
      </c>
    </row>
    <row r="56" spans="2:13" ht="18.75">
      <c r="B56" s="605" t="s">
        <v>187</v>
      </c>
      <c r="C56" s="473">
        <f>'EU27_35%_2015_0%_2021'!D203</f>
        <v>-1171824832.5990801</v>
      </c>
      <c r="D56" s="473">
        <f>'EU27_35%_2015_0%_2021'!E203</f>
        <v>-1215024336.998291</v>
      </c>
      <c r="E56" s="473">
        <f>'EU27_35%_2015_0%_2021'!F203</f>
        <v>-1204181547.6477132</v>
      </c>
      <c r="F56" s="474">
        <f>'EU27_35%_2015_0%_2021'!G203</f>
        <v>-1103012721.7110608</v>
      </c>
      <c r="I56" s="605" t="s">
        <v>187</v>
      </c>
      <c r="J56" s="473">
        <f>'EU27_35%_2015_0%_2021'!D203+'EU27_35%_2015_0%_2021'!$C$231</f>
        <v>-453875429.06192684</v>
      </c>
      <c r="K56" s="473">
        <f>'EU27_35%_2015_0%_2021'!E203+'EU27_35%_2015_0%_2021'!$D$231</f>
        <v>-97155741.611194611</v>
      </c>
      <c r="L56" s="473">
        <f>'EU27_35%_2015_0%_2021'!F203+'EU27_35%_2015_0%_2021'!$E$231</f>
        <v>427542847.86868739</v>
      </c>
      <c r="M56" s="522">
        <f>'EU27_35%_2015_0%_2021'!G203+'EU27_35%_2015_0%_2021'!$F$231</f>
        <v>1383452785.2719805</v>
      </c>
    </row>
    <row r="57" spans="2:13" ht="19.5" thickBot="1">
      <c r="B57" s="606" t="s">
        <v>188</v>
      </c>
      <c r="C57" s="475">
        <f>'EU27_35%_2015_0%_2021'!D204</f>
        <v>-434947975.44577968</v>
      </c>
      <c r="D57" s="475">
        <f>'EU27_35%_2015_0%_2021'!E204</f>
        <v>-67685132.841419548</v>
      </c>
      <c r="E57" s="475">
        <f>'EU27_35%_2015_0%_2021'!F204</f>
        <v>470560346.95471305</v>
      </c>
      <c r="F57" s="607">
        <f>'EU27_35%_2015_0%_2021'!G204</f>
        <v>1449004007.015054</v>
      </c>
      <c r="I57" s="606" t="s">
        <v>188</v>
      </c>
      <c r="J57" s="475">
        <f>'EU27_35%_2015_0%_2021'!D204+'EU27_35%_2015_0%_2021'!$C$231</f>
        <v>283001428.09137356</v>
      </c>
      <c r="K57" s="475">
        <f>'EU27_35%_2015_0%_2021'!E204+'EU27_35%_2015_0%_2021'!$D$231</f>
        <v>1050183462.5456768</v>
      </c>
      <c r="L57" s="475">
        <f>'EU27_35%_2015_0%_2021'!F204+'EU27_35%_2015_0%_2021'!$E$231</f>
        <v>2102284742.4711137</v>
      </c>
      <c r="M57" s="609">
        <f>'EU27_35%_2015_0%_2021'!G204+'EU27_35%_2015_0%_2021'!$F$231</f>
        <v>3935469513.9980955</v>
      </c>
    </row>
    <row r="109" spans="6:6">
      <c r="F109" s="92"/>
    </row>
  </sheetData>
  <hyperlinks>
    <hyperlink ref="E6" location="'REF_VOC Costs'!A1" display="VOC Damage Costs"/>
    <hyperlink ref="L6" location="'REF_VOC Costs'!A1" display="VOC Damage Costs"/>
  </hyperlink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268"/>
  <sheetViews>
    <sheetView tabSelected="1" zoomScale="75" zoomScaleNormal="75" workbookViewId="0">
      <selection activeCell="D207" sqref="D207"/>
    </sheetView>
  </sheetViews>
  <sheetFormatPr defaultRowHeight="15"/>
  <cols>
    <col min="1" max="1" width="9" style="92" customWidth="1"/>
    <col min="2" max="2" width="38.7109375" style="92" customWidth="1"/>
    <col min="3" max="3" width="35.42578125" style="92" customWidth="1"/>
    <col min="4" max="4" width="33.85546875" style="92" customWidth="1"/>
    <col min="5" max="5" width="31.42578125" style="92" customWidth="1"/>
    <col min="6" max="6" width="36.5703125" style="92" customWidth="1"/>
    <col min="7" max="7" width="34.28515625" style="92" customWidth="1"/>
    <col min="8" max="8" width="30.28515625" style="92" customWidth="1"/>
    <col min="9" max="10" width="18.42578125" style="92" bestFit="1" customWidth="1"/>
    <col min="11" max="11" width="19.7109375" style="92" customWidth="1"/>
    <col min="12" max="12" width="22.7109375" style="92" customWidth="1"/>
    <col min="13" max="13" width="24" style="92" customWidth="1"/>
    <col min="14" max="14" width="21.28515625" style="92" customWidth="1"/>
    <col min="15" max="15" width="25.85546875" style="92" customWidth="1"/>
    <col min="16" max="16" width="23" style="92" customWidth="1"/>
    <col min="17" max="17" width="20.5703125" style="92" customWidth="1"/>
    <col min="18" max="18" width="30" style="92" customWidth="1"/>
    <col min="19" max="19" width="28.5703125" style="92" customWidth="1"/>
    <col min="20" max="20" width="19.5703125" style="92" customWidth="1"/>
    <col min="21" max="21" width="19.42578125" style="92" customWidth="1"/>
    <col min="22" max="22" width="22.7109375" style="92" customWidth="1"/>
    <col min="23" max="23" width="15.42578125" style="92" customWidth="1"/>
    <col min="24" max="24" width="16.42578125" style="92" customWidth="1"/>
    <col min="25" max="25" width="14.85546875" style="92" customWidth="1"/>
    <col min="26" max="26" width="17.28515625" style="92" customWidth="1"/>
    <col min="27" max="27" width="14" style="92" customWidth="1"/>
    <col min="28" max="28" width="14.5703125" style="92" customWidth="1"/>
    <col min="29" max="29" width="15" style="92" customWidth="1"/>
    <col min="30" max="16384" width="9.140625" style="92"/>
  </cols>
  <sheetData>
    <row r="1" spans="2:14" ht="15.75" thickBot="1"/>
    <row r="2" spans="2:14">
      <c r="B2" s="213"/>
      <c r="C2" s="197"/>
      <c r="D2" s="197"/>
      <c r="E2" s="197"/>
      <c r="F2" s="197"/>
      <c r="G2" s="197"/>
      <c r="H2" s="197"/>
      <c r="I2" s="197"/>
      <c r="J2" s="197"/>
      <c r="K2" s="197"/>
      <c r="L2" s="197"/>
      <c r="M2" s="197"/>
      <c r="N2" s="198"/>
    </row>
    <row r="3" spans="2:14" ht="26.25">
      <c r="B3" s="235" t="s">
        <v>98</v>
      </c>
      <c r="C3" s="232"/>
      <c r="D3" s="200"/>
      <c r="E3" s="200"/>
      <c r="F3" s="200"/>
      <c r="G3" s="200"/>
      <c r="H3" s="200"/>
      <c r="I3" s="200"/>
      <c r="J3" s="200"/>
      <c r="K3" s="200"/>
      <c r="L3" s="200"/>
      <c r="M3" s="200"/>
      <c r="N3" s="201"/>
    </row>
    <row r="4" spans="2:14">
      <c r="B4" s="199"/>
      <c r="C4" s="200"/>
      <c r="D4" s="200"/>
      <c r="E4" s="200"/>
      <c r="F4" s="200"/>
      <c r="G4" s="200"/>
      <c r="H4" s="200"/>
      <c r="I4" s="200"/>
      <c r="J4" s="200"/>
      <c r="K4" s="200"/>
      <c r="L4" s="200"/>
      <c r="M4" s="200"/>
      <c r="N4" s="201"/>
    </row>
    <row r="5" spans="2:14" ht="18.75">
      <c r="B5" s="209" t="s">
        <v>235</v>
      </c>
      <c r="C5" s="200"/>
      <c r="D5" s="200"/>
      <c r="E5" s="200"/>
      <c r="F5" s="200"/>
      <c r="G5" s="200"/>
      <c r="H5" s="200"/>
      <c r="I5" s="200"/>
      <c r="J5" s="200"/>
      <c r="K5" s="200"/>
      <c r="L5" s="200"/>
      <c r="M5" s="200"/>
      <c r="N5" s="201"/>
    </row>
    <row r="6" spans="2:14">
      <c r="B6" s="199" t="s">
        <v>237</v>
      </c>
      <c r="C6" s="200"/>
      <c r="D6" s="200"/>
      <c r="E6" s="200"/>
      <c r="F6" s="200"/>
      <c r="G6" s="200"/>
      <c r="H6" s="200"/>
      <c r="I6" s="200"/>
      <c r="J6" s="200"/>
      <c r="K6" s="200"/>
      <c r="L6" s="200"/>
      <c r="M6" s="200"/>
      <c r="N6" s="201"/>
    </row>
    <row r="7" spans="2:14">
      <c r="B7" s="199" t="s">
        <v>236</v>
      </c>
      <c r="C7" s="200"/>
      <c r="D7" s="200"/>
      <c r="E7" s="200"/>
      <c r="F7" s="200"/>
      <c r="G7" s="200"/>
      <c r="H7" s="200"/>
      <c r="I7" s="200"/>
      <c r="J7" s="200"/>
      <c r="K7" s="200"/>
      <c r="L7" s="200"/>
      <c r="M7" s="200"/>
      <c r="N7" s="201"/>
    </row>
    <row r="8" spans="2:14">
      <c r="B8" s="199" t="s">
        <v>238</v>
      </c>
      <c r="C8" s="200"/>
      <c r="D8" s="200"/>
      <c r="E8" s="200"/>
      <c r="F8" s="200"/>
      <c r="G8" s="200"/>
      <c r="H8" s="200"/>
      <c r="I8" s="200"/>
      <c r="J8" s="200"/>
      <c r="K8" s="200"/>
      <c r="L8" s="206" t="s">
        <v>99</v>
      </c>
      <c r="M8" s="200"/>
      <c r="N8" s="201"/>
    </row>
    <row r="9" spans="2:14">
      <c r="B9" s="199"/>
      <c r="C9" s="200"/>
      <c r="D9" s="200"/>
      <c r="E9" s="200"/>
      <c r="F9" s="200"/>
      <c r="G9" s="200"/>
      <c r="H9" s="200"/>
      <c r="I9" s="200"/>
      <c r="J9" s="200"/>
      <c r="K9" s="200"/>
      <c r="L9" s="200"/>
      <c r="M9" s="200"/>
      <c r="N9" s="201"/>
    </row>
    <row r="10" spans="2:14" ht="18.75">
      <c r="B10" s="209" t="s">
        <v>102</v>
      </c>
      <c r="C10" s="200"/>
      <c r="D10" s="200"/>
      <c r="E10" s="200"/>
      <c r="F10" s="200"/>
      <c r="G10" s="200"/>
      <c r="H10" s="200"/>
      <c r="I10" s="200"/>
      <c r="J10" s="200"/>
      <c r="K10" s="200"/>
      <c r="L10" s="200"/>
      <c r="M10" s="200"/>
      <c r="N10" s="201"/>
    </row>
    <row r="11" spans="2:14">
      <c r="B11" s="199" t="s">
        <v>239</v>
      </c>
      <c r="C11" s="200"/>
      <c r="D11" s="200"/>
      <c r="E11" s="200"/>
      <c r="F11" s="200"/>
      <c r="G11" s="200"/>
      <c r="H11" s="200"/>
      <c r="I11" s="200"/>
      <c r="J11" s="200"/>
      <c r="K11" s="200"/>
      <c r="L11" s="200"/>
      <c r="M11" s="200"/>
      <c r="N11" s="201"/>
    </row>
    <row r="12" spans="2:14">
      <c r="B12" s="207" t="s">
        <v>100</v>
      </c>
      <c r="C12" s="200"/>
      <c r="D12" s="200"/>
      <c r="E12" s="200"/>
      <c r="F12" s="200"/>
      <c r="G12" s="200"/>
      <c r="H12" s="200"/>
      <c r="I12" s="200"/>
      <c r="J12" s="200"/>
      <c r="K12" s="200"/>
      <c r="L12" s="206" t="s">
        <v>107</v>
      </c>
      <c r="M12" s="200"/>
      <c r="N12" s="201"/>
    </row>
    <row r="13" spans="2:14">
      <c r="B13" s="199" t="s">
        <v>240</v>
      </c>
      <c r="C13" s="200"/>
      <c r="D13" s="200"/>
      <c r="E13" s="200"/>
      <c r="F13" s="200"/>
      <c r="G13" s="200"/>
      <c r="H13" s="200"/>
      <c r="I13" s="200"/>
      <c r="J13" s="200"/>
      <c r="K13" s="200"/>
      <c r="L13" s="200"/>
      <c r="M13" s="200"/>
      <c r="N13" s="201"/>
    </row>
    <row r="14" spans="2:14">
      <c r="B14" s="199" t="s">
        <v>277</v>
      </c>
      <c r="C14" s="200"/>
      <c r="D14" s="200"/>
      <c r="E14" s="200"/>
      <c r="F14" s="200"/>
      <c r="G14" s="200"/>
      <c r="H14" s="200"/>
      <c r="I14" s="200"/>
      <c r="J14" s="200"/>
      <c r="K14" s="200"/>
      <c r="L14" s="200"/>
      <c r="M14" s="200"/>
      <c r="N14" s="201"/>
    </row>
    <row r="15" spans="2:14" ht="15.75">
      <c r="B15" s="199"/>
      <c r="C15" s="200"/>
      <c r="D15" s="200"/>
      <c r="E15" s="200"/>
      <c r="F15" s="200"/>
      <c r="G15" s="208"/>
      <c r="H15" s="208"/>
      <c r="I15" s="200"/>
      <c r="J15" s="200"/>
      <c r="K15" s="200"/>
      <c r="L15" s="200"/>
      <c r="M15" s="200"/>
      <c r="N15" s="201"/>
    </row>
    <row r="16" spans="2:14" ht="18.75">
      <c r="B16" s="209" t="s">
        <v>101</v>
      </c>
      <c r="C16" s="200"/>
      <c r="D16" s="200"/>
      <c r="E16" s="200"/>
      <c r="F16" s="200"/>
      <c r="G16" s="200"/>
      <c r="H16" s="200"/>
      <c r="I16" s="200"/>
      <c r="J16" s="200"/>
      <c r="K16" s="200"/>
      <c r="L16" s="200"/>
      <c r="M16" s="200"/>
      <c r="N16" s="201"/>
    </row>
    <row r="17" spans="2:14">
      <c r="B17" s="199" t="s">
        <v>241</v>
      </c>
      <c r="C17" s="200"/>
      <c r="D17" s="200"/>
      <c r="E17" s="200"/>
      <c r="F17" s="200"/>
      <c r="G17" s="200"/>
      <c r="H17" s="200"/>
      <c r="I17" s="200"/>
      <c r="J17" s="200"/>
      <c r="K17" s="200"/>
      <c r="L17" s="200"/>
      <c r="M17" s="200"/>
      <c r="N17" s="201"/>
    </row>
    <row r="18" spans="2:14">
      <c r="B18" s="199"/>
      <c r="C18" s="200"/>
      <c r="D18" s="200"/>
      <c r="E18" s="200"/>
      <c r="F18" s="200"/>
      <c r="G18" s="200"/>
      <c r="H18" s="200"/>
      <c r="I18" s="200"/>
      <c r="J18" s="200"/>
      <c r="K18" s="200"/>
      <c r="L18" s="200"/>
      <c r="M18" s="200"/>
      <c r="N18" s="201"/>
    </row>
    <row r="19" spans="2:14" ht="18.75">
      <c r="B19" s="209" t="s">
        <v>103</v>
      </c>
      <c r="C19" s="200"/>
      <c r="D19" s="200"/>
      <c r="E19" s="200"/>
      <c r="F19" s="200"/>
      <c r="G19" s="200"/>
      <c r="H19" s="200"/>
      <c r="I19" s="200"/>
      <c r="J19" s="200"/>
      <c r="K19" s="200"/>
      <c r="L19" s="200"/>
      <c r="M19" s="200"/>
      <c r="N19" s="201"/>
    </row>
    <row r="20" spans="2:14">
      <c r="B20" s="199" t="s">
        <v>106</v>
      </c>
      <c r="C20" s="200"/>
      <c r="D20" s="200"/>
      <c r="E20" s="200"/>
      <c r="F20" s="200"/>
      <c r="G20" s="200"/>
      <c r="H20" s="200"/>
      <c r="I20" s="200"/>
      <c r="J20" s="200"/>
      <c r="K20" s="200"/>
      <c r="L20" s="200"/>
      <c r="M20" s="200"/>
      <c r="N20" s="201"/>
    </row>
    <row r="21" spans="2:14">
      <c r="B21" s="199" t="s">
        <v>104</v>
      </c>
      <c r="C21" s="200"/>
      <c r="D21" s="200"/>
      <c r="E21" s="200"/>
      <c r="F21" s="200"/>
      <c r="G21" s="200"/>
      <c r="H21" s="200"/>
      <c r="I21" s="200"/>
      <c r="J21" s="200"/>
      <c r="K21" s="200"/>
      <c r="L21" s="200"/>
      <c r="M21" s="200"/>
      <c r="N21" s="201"/>
    </row>
    <row r="22" spans="2:14">
      <c r="B22" s="199" t="s">
        <v>242</v>
      </c>
      <c r="C22" s="200"/>
      <c r="D22" s="200"/>
      <c r="E22" s="200"/>
      <c r="F22" s="200"/>
      <c r="G22" s="200"/>
      <c r="H22" s="200"/>
      <c r="I22" s="200"/>
      <c r="J22" s="200"/>
      <c r="K22" s="200"/>
      <c r="L22" s="200"/>
      <c r="M22" s="200"/>
      <c r="N22" s="201"/>
    </row>
    <row r="23" spans="2:14">
      <c r="B23" s="199" t="s">
        <v>243</v>
      </c>
      <c r="C23" s="200"/>
      <c r="D23" s="200"/>
      <c r="E23" s="200"/>
      <c r="F23" s="200"/>
      <c r="G23" s="200"/>
      <c r="H23" s="200"/>
      <c r="I23" s="200"/>
      <c r="J23" s="200"/>
      <c r="K23" s="200"/>
      <c r="L23" s="200"/>
      <c r="M23" s="200"/>
      <c r="N23" s="201"/>
    </row>
    <row r="24" spans="2:14">
      <c r="B24" s="199"/>
      <c r="C24" s="200"/>
      <c r="D24" s="200"/>
      <c r="E24" s="200"/>
      <c r="F24" s="200"/>
      <c r="G24" s="200"/>
      <c r="H24" s="200"/>
      <c r="I24" s="200"/>
      <c r="J24" s="200"/>
      <c r="K24" s="200"/>
      <c r="L24" s="200"/>
      <c r="M24" s="200"/>
      <c r="N24" s="201"/>
    </row>
    <row r="25" spans="2:14" ht="18.75">
      <c r="B25" s="209" t="s">
        <v>108</v>
      </c>
      <c r="C25" s="200"/>
      <c r="D25" s="200"/>
      <c r="E25" s="200"/>
      <c r="F25" s="200"/>
      <c r="G25" s="200"/>
      <c r="H25" s="200"/>
      <c r="I25" s="200"/>
      <c r="J25" s="200"/>
      <c r="K25" s="200"/>
      <c r="L25" s="200"/>
      <c r="M25" s="200"/>
      <c r="N25" s="201"/>
    </row>
    <row r="26" spans="2:14" s="192" customFormat="1" ht="15.75">
      <c r="B26" s="210" t="s">
        <v>256</v>
      </c>
      <c r="C26" s="211" t="s">
        <v>278</v>
      </c>
      <c r="D26" s="211"/>
      <c r="E26" s="211"/>
      <c r="F26" s="211"/>
      <c r="G26" s="211"/>
      <c r="H26" s="211"/>
      <c r="I26" s="211"/>
      <c r="J26" s="211"/>
      <c r="K26" s="211"/>
      <c r="L26" s="211"/>
      <c r="M26" s="211"/>
      <c r="N26" s="212"/>
    </row>
    <row r="27" spans="2:14" s="192" customFormat="1" ht="15.75">
      <c r="B27" s="202" t="s">
        <v>250</v>
      </c>
      <c r="C27" s="211"/>
      <c r="D27" s="211"/>
      <c r="E27" s="211"/>
      <c r="F27" s="211"/>
      <c r="G27" s="211"/>
      <c r="H27" s="211"/>
      <c r="I27" s="211"/>
      <c r="J27" s="211"/>
      <c r="K27" s="211"/>
      <c r="L27" s="211"/>
      <c r="M27" s="211"/>
      <c r="N27" s="212"/>
    </row>
    <row r="28" spans="2:14" s="192" customFormat="1" ht="15.75">
      <c r="B28" s="202" t="s">
        <v>251</v>
      </c>
      <c r="C28" s="200"/>
      <c r="D28" s="211"/>
      <c r="E28" s="211"/>
      <c r="F28" s="211"/>
      <c r="G28" s="211"/>
      <c r="H28" s="211"/>
      <c r="I28" s="211"/>
      <c r="J28" s="211"/>
      <c r="K28" s="211"/>
      <c r="L28" s="211"/>
      <c r="M28" s="211"/>
      <c r="N28" s="212"/>
    </row>
    <row r="29" spans="2:14" s="192" customFormat="1" ht="15.75">
      <c r="B29" s="202" t="s">
        <v>252</v>
      </c>
      <c r="C29" s="200"/>
      <c r="D29" s="211"/>
      <c r="E29" s="211"/>
      <c r="F29" s="211"/>
      <c r="G29" s="211"/>
      <c r="H29" s="211"/>
      <c r="I29" s="211"/>
      <c r="J29" s="211"/>
      <c r="K29" s="211"/>
      <c r="L29" s="211"/>
      <c r="M29" s="211"/>
      <c r="N29" s="212"/>
    </row>
    <row r="30" spans="2:14" ht="15.75">
      <c r="B30" s="202" t="s">
        <v>253</v>
      </c>
      <c r="C30" s="200"/>
      <c r="D30" s="200"/>
      <c r="E30" s="200"/>
      <c r="F30" s="200"/>
      <c r="G30" s="200"/>
      <c r="H30" s="200"/>
      <c r="I30" s="200"/>
      <c r="J30" s="200"/>
      <c r="K30" s="200"/>
      <c r="L30" s="200"/>
      <c r="M30" s="200"/>
      <c r="N30" s="201"/>
    </row>
    <row r="31" spans="2:14">
      <c r="B31" s="199"/>
      <c r="C31" s="200"/>
      <c r="D31" s="200"/>
      <c r="E31" s="200"/>
      <c r="F31" s="200"/>
      <c r="G31" s="200"/>
      <c r="H31" s="200"/>
      <c r="I31" s="200"/>
      <c r="J31" s="200"/>
      <c r="K31" s="200"/>
      <c r="L31" s="200"/>
      <c r="M31" s="200"/>
      <c r="N31" s="201"/>
    </row>
    <row r="32" spans="2:14" ht="21">
      <c r="B32" s="417" t="s">
        <v>136</v>
      </c>
      <c r="C32" s="200"/>
      <c r="D32" s="200"/>
      <c r="E32" s="200"/>
      <c r="F32" s="200"/>
      <c r="G32" s="200"/>
      <c r="H32" s="200"/>
      <c r="I32" s="200"/>
      <c r="J32" s="200"/>
      <c r="K32" s="200"/>
      <c r="L32" s="200"/>
      <c r="M32" s="200"/>
      <c r="N32" s="201"/>
    </row>
    <row r="33" spans="1:19">
      <c r="B33" s="199" t="s">
        <v>227</v>
      </c>
      <c r="C33" s="200"/>
      <c r="D33" s="200"/>
      <c r="E33" s="200"/>
      <c r="F33" s="200"/>
      <c r="G33" s="200"/>
      <c r="H33" s="200"/>
      <c r="I33" s="200"/>
      <c r="J33" s="200"/>
      <c r="K33" s="200"/>
      <c r="L33" s="200"/>
      <c r="M33" s="200"/>
      <c r="N33" s="201"/>
    </row>
    <row r="34" spans="1:19">
      <c r="B34" s="233" t="s">
        <v>137</v>
      </c>
      <c r="C34" s="200"/>
      <c r="D34" s="200"/>
      <c r="E34" s="200"/>
      <c r="F34" s="200"/>
      <c r="G34" s="200"/>
      <c r="H34" s="200"/>
      <c r="I34" s="200"/>
      <c r="J34" s="200"/>
      <c r="K34" s="200"/>
      <c r="L34" s="200"/>
      <c r="M34" s="200"/>
      <c r="N34" s="201"/>
    </row>
    <row r="35" spans="1:19">
      <c r="B35" s="199" t="s">
        <v>135</v>
      </c>
      <c r="C35" s="200"/>
      <c r="D35" s="200"/>
      <c r="E35" s="200"/>
      <c r="F35" s="200"/>
      <c r="G35" s="200"/>
      <c r="H35" s="200"/>
      <c r="I35" s="200"/>
      <c r="J35" s="200"/>
      <c r="K35" s="200"/>
      <c r="L35" s="200"/>
      <c r="M35" s="200"/>
      <c r="N35" s="201"/>
    </row>
    <row r="36" spans="1:19" ht="15.75" thickBot="1">
      <c r="B36" s="524"/>
      <c r="C36" s="204"/>
      <c r="D36" s="204"/>
      <c r="E36" s="204"/>
      <c r="F36" s="204"/>
      <c r="G36" s="204"/>
      <c r="H36" s="204"/>
      <c r="I36" s="204"/>
      <c r="J36" s="204"/>
      <c r="K36" s="204"/>
      <c r="L36" s="204"/>
      <c r="M36" s="204"/>
      <c r="N36" s="205"/>
    </row>
    <row r="38" spans="1:19" ht="15.75" thickBot="1"/>
    <row r="39" spans="1:19" ht="19.5" thickBot="1">
      <c r="B39" s="654" t="s">
        <v>257</v>
      </c>
      <c r="C39" s="655"/>
      <c r="D39" s="656"/>
    </row>
    <row r="40" spans="1:19" ht="16.5" thickBot="1">
      <c r="B40" s="628" t="s">
        <v>258</v>
      </c>
      <c r="C40" s="630" t="s">
        <v>259</v>
      </c>
      <c r="D40" s="631"/>
    </row>
    <row r="41" spans="1:19" ht="18.75">
      <c r="B41" s="728">
        <v>1.5</v>
      </c>
      <c r="C41" s="632" t="s">
        <v>75</v>
      </c>
      <c r="D41" s="632" t="s">
        <v>70</v>
      </c>
    </row>
    <row r="42" spans="1:19" ht="16.5" thickBot="1">
      <c r="B42" s="629"/>
      <c r="C42" s="633">
        <f>'REF_VOC Costs'!AF47</f>
        <v>1098.0726377430501</v>
      </c>
      <c r="D42" s="633">
        <f>'REF_VOC Costs'!AG47</f>
        <v>3303.3665700764986</v>
      </c>
    </row>
    <row r="43" spans="1:19" s="99" customFormat="1" ht="14.25" customHeight="1" thickBot="1">
      <c r="B43" s="214"/>
      <c r="C43" s="215"/>
      <c r="D43" s="216"/>
      <c r="E43" s="216"/>
    </row>
    <row r="44" spans="1:19" ht="18.75">
      <c r="B44" s="227" t="s">
        <v>112</v>
      </c>
      <c r="C44" s="197"/>
      <c r="D44" s="197"/>
      <c r="E44" s="197"/>
      <c r="F44" s="197"/>
      <c r="G44" s="197"/>
      <c r="H44" s="197"/>
      <c r="I44" s="197"/>
      <c r="J44" s="197"/>
      <c r="K44" s="197"/>
      <c r="L44" s="197"/>
      <c r="M44" s="197"/>
      <c r="N44" s="197"/>
      <c r="O44" s="197"/>
      <c r="P44" s="197"/>
      <c r="Q44" s="197"/>
      <c r="R44" s="197"/>
      <c r="S44" s="198"/>
    </row>
    <row r="45" spans="1:19">
      <c r="B45" s="199" t="s">
        <v>210</v>
      </c>
      <c r="C45" s="200"/>
      <c r="D45" s="200"/>
      <c r="E45" s="200"/>
      <c r="F45" s="200"/>
      <c r="G45" s="200"/>
      <c r="H45" s="200"/>
      <c r="I45" s="200"/>
      <c r="J45" s="200"/>
      <c r="K45" s="200"/>
      <c r="L45" s="200"/>
      <c r="M45" s="200"/>
      <c r="N45" s="200"/>
      <c r="O45" s="200"/>
      <c r="P45" s="200"/>
      <c r="Q45" s="200"/>
      <c r="R45" s="200"/>
      <c r="S45" s="201"/>
    </row>
    <row r="46" spans="1:19">
      <c r="B46" s="199" t="s">
        <v>111</v>
      </c>
      <c r="C46" s="200"/>
      <c r="D46" s="200"/>
      <c r="E46" s="200"/>
      <c r="F46" s="200"/>
      <c r="G46" s="200"/>
      <c r="H46" s="200"/>
      <c r="I46" s="200"/>
      <c r="J46" s="200"/>
      <c r="K46" s="200"/>
      <c r="L46" s="200"/>
      <c r="M46" s="200"/>
      <c r="N46" s="200"/>
      <c r="O46" s="200"/>
      <c r="P46" s="200"/>
      <c r="Q46" s="200"/>
      <c r="R46" s="200"/>
      <c r="S46" s="201"/>
    </row>
    <row r="47" spans="1:19" s="99" customFormat="1" ht="19.5" thickBot="1">
      <c r="A47" s="92"/>
      <c r="B47" s="203"/>
      <c r="C47" s="226"/>
      <c r="D47" s="204"/>
      <c r="E47" s="204"/>
      <c r="F47" s="204"/>
      <c r="G47" s="204"/>
      <c r="H47" s="204"/>
      <c r="I47" s="204"/>
      <c r="J47" s="204"/>
      <c r="K47" s="204"/>
      <c r="L47" s="204"/>
      <c r="M47" s="204"/>
      <c r="N47" s="204"/>
      <c r="O47" s="204"/>
      <c r="P47" s="204"/>
      <c r="Q47" s="204"/>
      <c r="R47" s="204"/>
      <c r="S47" s="205"/>
    </row>
    <row r="48" spans="1:19" ht="19.5" thickBot="1">
      <c r="B48" s="120"/>
    </row>
    <row r="49" spans="1:29" ht="15.75" thickBot="1">
      <c r="A49" s="99"/>
      <c r="D49" s="165">
        <v>2015</v>
      </c>
      <c r="E49" s="166">
        <v>2016</v>
      </c>
      <c r="F49" s="166">
        <v>2017</v>
      </c>
      <c r="G49" s="166">
        <v>2018</v>
      </c>
      <c r="H49" s="166">
        <v>2019</v>
      </c>
      <c r="I49" s="166">
        <v>2020</v>
      </c>
      <c r="J49" s="166">
        <v>2021</v>
      </c>
      <c r="K49" s="166">
        <v>2022</v>
      </c>
      <c r="L49" s="166">
        <v>2023</v>
      </c>
      <c r="M49" s="166">
        <v>2024</v>
      </c>
      <c r="N49" s="166">
        <v>2025</v>
      </c>
      <c r="O49" s="166">
        <v>2026</v>
      </c>
      <c r="P49" s="166">
        <v>2027</v>
      </c>
      <c r="Q49" s="166">
        <v>2028</v>
      </c>
      <c r="R49" s="166">
        <v>2029</v>
      </c>
      <c r="S49" s="167">
        <v>2030</v>
      </c>
      <c r="T49" s="166">
        <v>2031</v>
      </c>
      <c r="U49" s="167">
        <v>2032</v>
      </c>
      <c r="V49" s="166">
        <v>2033</v>
      </c>
      <c r="W49" s="167">
        <v>2034</v>
      </c>
      <c r="X49" s="166">
        <v>2035</v>
      </c>
      <c r="Y49" s="167">
        <v>2036</v>
      </c>
      <c r="Z49" s="166">
        <v>2037</v>
      </c>
      <c r="AA49" s="167">
        <v>2038</v>
      </c>
      <c r="AB49" s="166">
        <v>2039</v>
      </c>
      <c r="AC49" s="167">
        <v>2040</v>
      </c>
    </row>
    <row r="50" spans="1:29">
      <c r="B50" s="734" t="s">
        <v>77</v>
      </c>
      <c r="C50" s="146" t="s">
        <v>74</v>
      </c>
      <c r="D50" s="163">
        <f>'REF_EURO6 Sales'!C33</f>
        <v>12461795.397800472</v>
      </c>
      <c r="E50" s="163">
        <f>'REF_EURO6 Sales'!D33</f>
        <v>12061574.549201667</v>
      </c>
      <c r="F50" s="163">
        <f>'REF_EURO6 Sales'!E33</f>
        <v>12004607.340855427</v>
      </c>
      <c r="G50" s="163">
        <f>'REF_EURO6 Sales'!F33</f>
        <v>11981608.826101728</v>
      </c>
      <c r="H50" s="163">
        <f>'REF_EURO6 Sales'!G33</f>
        <v>12077905.324261546</v>
      </c>
      <c r="I50" s="163">
        <f>'REF_EURO6 Sales'!H33</f>
        <v>12637067.217560742</v>
      </c>
      <c r="J50" s="163">
        <f>'REF_EURO6 Sales'!I33</f>
        <v>9547182.1399962232</v>
      </c>
      <c r="K50" s="163">
        <f>'REF_EURO6 Sales'!J33</f>
        <v>9606405.7960448749</v>
      </c>
      <c r="L50" s="163">
        <f>'REF_EURO6 Sales'!K33</f>
        <v>9680927.4677071217</v>
      </c>
      <c r="M50" s="163">
        <f>'REF_EURO6 Sales'!L33</f>
        <v>10046360.318599418</v>
      </c>
      <c r="N50" s="163">
        <f>'REF_EURO6 Sales'!M33</f>
        <v>9799053.8831536509</v>
      </c>
      <c r="O50" s="163">
        <f>'REF_EURO6 Sales'!N33</f>
        <v>8716013.2032037638</v>
      </c>
      <c r="P50" s="163">
        <f>'REF_EURO6 Sales'!O33</f>
        <v>8672945.3040618431</v>
      </c>
      <c r="Q50" s="163">
        <f>'REF_EURO6 Sales'!P33</f>
        <v>8654512.8617583215</v>
      </c>
      <c r="R50" s="163">
        <f>'REF_EURO6 Sales'!Q33</f>
        <v>8625762.5219088253</v>
      </c>
      <c r="S50" s="163">
        <f>'REF_EURO6 Sales'!R33</f>
        <v>8488372.9227999486</v>
      </c>
      <c r="T50" s="398">
        <v>0</v>
      </c>
      <c r="U50" s="398">
        <v>0</v>
      </c>
      <c r="V50" s="398">
        <v>0</v>
      </c>
      <c r="W50" s="398">
        <v>0</v>
      </c>
      <c r="X50" s="398">
        <v>0</v>
      </c>
      <c r="Y50" s="398">
        <v>0</v>
      </c>
      <c r="Z50" s="398">
        <v>0</v>
      </c>
      <c r="AA50" s="398">
        <v>0</v>
      </c>
      <c r="AB50" s="398">
        <v>0</v>
      </c>
      <c r="AC50" s="401">
        <v>0</v>
      </c>
    </row>
    <row r="51" spans="1:29">
      <c r="B51" s="735"/>
      <c r="C51" s="141" t="s">
        <v>52</v>
      </c>
      <c r="D51" s="163">
        <v>8157.0448530010717</v>
      </c>
      <c r="E51" s="123">
        <v>16550.281739540398</v>
      </c>
      <c r="F51" s="123">
        <v>25306.438866566736</v>
      </c>
      <c r="G51" s="123">
        <v>34238.007990965059</v>
      </c>
      <c r="H51" s="123">
        <v>43334.8362296298</v>
      </c>
      <c r="I51" s="123">
        <v>52834.057001291352</v>
      </c>
      <c r="J51" s="123">
        <v>61209.077692128791</v>
      </c>
      <c r="K51" s="123">
        <v>70047.122058972745</v>
      </c>
      <c r="L51" s="123">
        <v>78870.704505942325</v>
      </c>
      <c r="M51" s="123">
        <v>87622.505517235055</v>
      </c>
      <c r="N51" s="123">
        <v>95985.022127872071</v>
      </c>
      <c r="O51" s="123">
        <v>103774.93059511849</v>
      </c>
      <c r="P51" s="123">
        <v>111070.93668573078</v>
      </c>
      <c r="Q51" s="123">
        <v>117873.2156204448</v>
      </c>
      <c r="R51" s="123">
        <v>124118.74976324418</v>
      </c>
      <c r="S51" s="143">
        <v>129835.98949689411</v>
      </c>
      <c r="T51" s="143">
        <v>125367.22441793077</v>
      </c>
      <c r="U51" s="143">
        <v>120127.14116543667</v>
      </c>
      <c r="V51" s="143">
        <v>114240.00983504845</v>
      </c>
      <c r="W51" s="143">
        <v>107906.1810350624</v>
      </c>
      <c r="X51" s="143">
        <v>101149.25723049822</v>
      </c>
      <c r="Y51" s="143">
        <v>94193.750569715135</v>
      </c>
      <c r="Z51" s="143">
        <v>86943.056959625115</v>
      </c>
      <c r="AA51" s="143">
        <v>79542.696521317353</v>
      </c>
      <c r="AB51" s="143">
        <v>72315.139456403209</v>
      </c>
      <c r="AC51" s="143">
        <v>65311.970501350123</v>
      </c>
    </row>
    <row r="52" spans="1:29">
      <c r="B52" s="735"/>
      <c r="C52" s="141" t="s">
        <v>48</v>
      </c>
      <c r="D52" s="163">
        <v>7289.4301048161424</v>
      </c>
      <c r="E52" s="123">
        <v>14834.65844633107</v>
      </c>
      <c r="F52" s="123">
        <v>22727.636762449329</v>
      </c>
      <c r="G52" s="123">
        <v>30782.965234495554</v>
      </c>
      <c r="H52" s="123">
        <v>38998.908108936746</v>
      </c>
      <c r="I52" s="123">
        <v>47566.385815096874</v>
      </c>
      <c r="J52" s="123">
        <v>55227.392926190594</v>
      </c>
      <c r="K52" s="123">
        <v>63330.601951941353</v>
      </c>
      <c r="L52" s="123">
        <v>71425.449856231309</v>
      </c>
      <c r="M52" s="123">
        <v>79463.052009454987</v>
      </c>
      <c r="N52" s="123">
        <v>87096.807825788186</v>
      </c>
      <c r="O52" s="123">
        <v>94263.780812660189</v>
      </c>
      <c r="P52" s="123">
        <v>100978.0890649278</v>
      </c>
      <c r="Q52" s="123">
        <v>107170.67358599426</v>
      </c>
      <c r="R52" s="123">
        <v>112891.61979619619</v>
      </c>
      <c r="S52" s="143">
        <v>118090.70504771093</v>
      </c>
      <c r="T52" s="143">
        <v>114091.83176316149</v>
      </c>
      <c r="U52" s="143">
        <v>109326.80755807196</v>
      </c>
      <c r="V52" s="143">
        <v>103956.86638250144</v>
      </c>
      <c r="W52" s="143">
        <v>98191.960769801182</v>
      </c>
      <c r="X52" s="143">
        <v>92030.169736251235</v>
      </c>
      <c r="Y52" s="143">
        <v>85694.475641711193</v>
      </c>
      <c r="Z52" s="143">
        <v>79099.381792094733</v>
      </c>
      <c r="AA52" s="143">
        <v>72350.938156265984</v>
      </c>
      <c r="AB52" s="143">
        <v>65772.528837707432</v>
      </c>
      <c r="AC52" s="143">
        <v>59385.321650783982</v>
      </c>
    </row>
    <row r="53" spans="1:29">
      <c r="B53" s="735"/>
      <c r="C53" s="141" t="s">
        <v>53</v>
      </c>
      <c r="D53" s="163">
        <v>5268.5211172197978</v>
      </c>
      <c r="E53" s="123">
        <v>10849.458555305422</v>
      </c>
      <c r="F53" s="123">
        <v>16786.06695385787</v>
      </c>
      <c r="G53" s="123">
        <v>22884.517660831429</v>
      </c>
      <c r="H53" s="123">
        <v>29131.2786704627</v>
      </c>
      <c r="I53" s="123">
        <v>35710.034827495576</v>
      </c>
      <c r="J53" s="123">
        <v>41788.603944434297</v>
      </c>
      <c r="K53" s="123">
        <v>48358.981674730341</v>
      </c>
      <c r="L53" s="123">
        <v>54951.674352094044</v>
      </c>
      <c r="M53" s="123">
        <v>61511.310285334905</v>
      </c>
      <c r="N53" s="123">
        <v>67781.414454484635</v>
      </c>
      <c r="O53" s="123">
        <v>73807.44402565324</v>
      </c>
      <c r="P53" s="123">
        <v>79446.460117902694</v>
      </c>
      <c r="Q53" s="123">
        <v>84669.937243037057</v>
      </c>
      <c r="R53" s="123">
        <v>89472.942282839183</v>
      </c>
      <c r="S53" s="143">
        <v>93868.229143915771</v>
      </c>
      <c r="T53" s="143">
        <v>90902.697266374205</v>
      </c>
      <c r="U53" s="143">
        <v>87288.582860101858</v>
      </c>
      <c r="V53" s="143">
        <v>83141.645935360197</v>
      </c>
      <c r="W53" s="143">
        <v>78625.788538271663</v>
      </c>
      <c r="X53" s="143">
        <v>73789.978499213947</v>
      </c>
      <c r="Y53" s="143">
        <v>68782.036894563018</v>
      </c>
      <c r="Z53" s="143">
        <v>63544.559426933272</v>
      </c>
      <c r="AA53" s="143">
        <v>58177.081034467054</v>
      </c>
      <c r="AB53" s="143">
        <v>52924.58317292139</v>
      </c>
      <c r="AC53" s="143">
        <v>47818.03464677689</v>
      </c>
    </row>
    <row r="54" spans="1:29">
      <c r="B54" s="735"/>
      <c r="C54" s="141" t="s">
        <v>160</v>
      </c>
      <c r="D54" s="446">
        <v>4786.8648709327917</v>
      </c>
      <c r="E54" s="447">
        <v>9461.1371264261852</v>
      </c>
      <c r="F54" s="447">
        <v>14094.182569313622</v>
      </c>
      <c r="G54" s="447">
        <v>18541.455164531006</v>
      </c>
      <c r="H54" s="447">
        <v>22811.745684655878</v>
      </c>
      <c r="I54" s="447">
        <v>27141.834995160243</v>
      </c>
      <c r="J54" s="447">
        <v>30729.569650124202</v>
      </c>
      <c r="K54" s="447">
        <v>34688.545713661384</v>
      </c>
      <c r="L54" s="447">
        <v>38578.886089325002</v>
      </c>
      <c r="M54" s="447">
        <v>42411.723457174689</v>
      </c>
      <c r="N54" s="447">
        <v>45978.03878582894</v>
      </c>
      <c r="O54" s="447">
        <v>49109.196384612609</v>
      </c>
      <c r="P54" s="447">
        <v>51940.182961158971</v>
      </c>
      <c r="Q54" s="447">
        <v>54462.709400916981</v>
      </c>
      <c r="R54" s="447">
        <v>56694.202380721545</v>
      </c>
      <c r="S54" s="459">
        <v>58644.947090650821</v>
      </c>
      <c r="T54" s="459">
        <v>56080.333250786352</v>
      </c>
      <c r="U54" s="459">
        <v>53273.700528377318</v>
      </c>
      <c r="V54" s="459">
        <v>50175.778388494116</v>
      </c>
      <c r="W54" s="459">
        <v>46915.051147958606</v>
      </c>
      <c r="X54" s="459">
        <v>43545.784302998152</v>
      </c>
      <c r="Y54" s="459">
        <v>40126.55619772237</v>
      </c>
      <c r="Z54" s="459">
        <v>36670.53474743796</v>
      </c>
      <c r="AA54" s="459">
        <v>33181.496900659724</v>
      </c>
      <c r="AB54" s="459">
        <v>29805.653293318719</v>
      </c>
      <c r="AC54" s="459">
        <v>26570.828678809401</v>
      </c>
    </row>
    <row r="55" spans="1:29" ht="15.75" thickBot="1">
      <c r="B55" s="736"/>
      <c r="C55" s="142" t="s">
        <v>54</v>
      </c>
      <c r="D55" s="164">
        <v>4146.6239580914817</v>
      </c>
      <c r="E55" s="144">
        <v>8360.8702745523078</v>
      </c>
      <c r="F55" s="144">
        <v>12738.002613768953</v>
      </c>
      <c r="G55" s="144">
        <v>17243.800181042949</v>
      </c>
      <c r="H55" s="144">
        <v>21887.440877625922</v>
      </c>
      <c r="I55" s="144">
        <v>26741.950824258769</v>
      </c>
      <c r="J55" s="144">
        <v>30729.569650124202</v>
      </c>
      <c r="K55" s="144">
        <v>34688.545713661384</v>
      </c>
      <c r="L55" s="144">
        <v>38578.886089325002</v>
      </c>
      <c r="M55" s="144">
        <v>42411.723457174689</v>
      </c>
      <c r="N55" s="144">
        <v>45978.03878582894</v>
      </c>
      <c r="O55" s="144">
        <v>49109.196384612609</v>
      </c>
      <c r="P55" s="144">
        <v>51940.182961158971</v>
      </c>
      <c r="Q55" s="144">
        <v>54462.709400916981</v>
      </c>
      <c r="R55" s="144">
        <v>56694.202380721545</v>
      </c>
      <c r="S55" s="145">
        <v>58644.947090650821</v>
      </c>
      <c r="T55" s="145">
        <v>56080.333250786352</v>
      </c>
      <c r="U55" s="145">
        <v>53273.700528377318</v>
      </c>
      <c r="V55" s="145">
        <v>50175.778388494116</v>
      </c>
      <c r="W55" s="145">
        <v>46915.051147958606</v>
      </c>
      <c r="X55" s="145">
        <v>43545.784302998152</v>
      </c>
      <c r="Y55" s="145">
        <v>40126.55619772237</v>
      </c>
      <c r="Z55" s="145">
        <v>36670.53474743796</v>
      </c>
      <c r="AA55" s="145">
        <v>33181.496900659724</v>
      </c>
      <c r="AB55" s="145">
        <v>29805.653293318719</v>
      </c>
      <c r="AC55" s="145">
        <v>26570.828678809401</v>
      </c>
    </row>
    <row r="56" spans="1:29" s="99" customFormat="1" ht="15.75" thickBot="1">
      <c r="B56" s="228"/>
      <c r="C56" s="112"/>
      <c r="D56" s="193"/>
      <c r="E56" s="193"/>
      <c r="F56" s="193"/>
      <c r="G56" s="193"/>
      <c r="H56" s="193"/>
      <c r="I56" s="193"/>
      <c r="J56" s="193"/>
      <c r="K56" s="193"/>
      <c r="L56" s="193"/>
      <c r="M56" s="193"/>
      <c r="N56" s="193"/>
      <c r="O56" s="193"/>
      <c r="P56" s="193"/>
      <c r="Q56" s="193"/>
      <c r="R56" s="193"/>
      <c r="S56" s="193"/>
    </row>
    <row r="57" spans="1:29" s="99" customFormat="1">
      <c r="B57" s="229"/>
      <c r="C57" s="197"/>
      <c r="D57" s="217"/>
      <c r="E57" s="217"/>
      <c r="F57" s="217"/>
      <c r="G57" s="217"/>
      <c r="H57" s="217"/>
      <c r="I57" s="217"/>
      <c r="J57" s="217"/>
      <c r="K57" s="217"/>
      <c r="L57" s="217"/>
      <c r="M57" s="217"/>
      <c r="N57" s="217"/>
      <c r="O57" s="217"/>
      <c r="P57" s="217"/>
      <c r="Q57" s="217"/>
      <c r="R57" s="217"/>
      <c r="S57" s="230"/>
    </row>
    <row r="58" spans="1:29" ht="18.75">
      <c r="B58" s="231" t="s">
        <v>113</v>
      </c>
      <c r="C58" s="200"/>
      <c r="D58" s="200"/>
      <c r="E58" s="200"/>
      <c r="F58" s="200"/>
      <c r="G58" s="200"/>
      <c r="H58" s="200"/>
      <c r="I58" s="200"/>
      <c r="J58" s="200"/>
      <c r="K58" s="200"/>
      <c r="L58" s="200"/>
      <c r="M58" s="200"/>
      <c r="N58" s="200"/>
      <c r="O58" s="200"/>
      <c r="P58" s="200"/>
      <c r="Q58" s="200"/>
      <c r="R58" s="200"/>
      <c r="S58" s="201"/>
    </row>
    <row r="59" spans="1:29">
      <c r="B59" s="199" t="s">
        <v>114</v>
      </c>
      <c r="C59" s="200"/>
      <c r="D59" s="200"/>
      <c r="E59" s="200"/>
      <c r="F59" s="200"/>
      <c r="G59" s="200"/>
      <c r="H59" s="200"/>
      <c r="I59" s="200"/>
      <c r="J59" s="200"/>
      <c r="K59" s="200"/>
      <c r="L59" s="200"/>
      <c r="M59" s="200"/>
      <c r="N59" s="200"/>
      <c r="O59" s="200"/>
      <c r="P59" s="200"/>
      <c r="Q59" s="200"/>
      <c r="R59" s="200"/>
      <c r="S59" s="201"/>
    </row>
    <row r="60" spans="1:29" ht="16.5" customHeight="1">
      <c r="B60" s="199" t="s">
        <v>212</v>
      </c>
      <c r="C60" s="200"/>
      <c r="D60" s="200"/>
      <c r="E60" s="200"/>
      <c r="F60" s="200"/>
      <c r="G60" s="200"/>
      <c r="H60" s="200"/>
      <c r="I60" s="200"/>
      <c r="J60" s="200"/>
      <c r="K60" s="200"/>
      <c r="L60" s="200"/>
      <c r="M60" s="200"/>
      <c r="N60" s="200"/>
      <c r="O60" s="200"/>
      <c r="P60" s="200"/>
      <c r="Q60" s="200"/>
      <c r="R60" s="200"/>
      <c r="S60" s="201"/>
    </row>
    <row r="61" spans="1:29" ht="16.5" customHeight="1" thickBot="1">
      <c r="B61" s="199"/>
      <c r="C61" s="200"/>
      <c r="D61" s="200"/>
      <c r="E61" s="200"/>
      <c r="F61" s="200"/>
      <c r="G61" s="200"/>
      <c r="H61" s="200"/>
      <c r="I61" s="200"/>
      <c r="J61" s="200"/>
      <c r="K61" s="200"/>
      <c r="L61" s="200"/>
      <c r="M61" s="200"/>
      <c r="N61" s="200"/>
      <c r="O61" s="200"/>
      <c r="P61" s="200"/>
      <c r="Q61" s="200"/>
      <c r="R61" s="200"/>
      <c r="S61" s="201"/>
    </row>
    <row r="62" spans="1:29" ht="15.75" thickBot="1">
      <c r="B62" s="199"/>
      <c r="C62" s="468" t="s">
        <v>141</v>
      </c>
      <c r="D62" s="468" t="s">
        <v>140</v>
      </c>
      <c r="E62" s="200"/>
      <c r="F62" s="200"/>
      <c r="G62" s="200"/>
      <c r="H62" s="200"/>
      <c r="I62" s="200"/>
      <c r="J62" s="200"/>
      <c r="K62" s="200"/>
      <c r="L62" s="200"/>
      <c r="M62" s="200"/>
      <c r="N62" s="200"/>
      <c r="O62" s="200"/>
      <c r="P62" s="200"/>
      <c r="Q62" s="200"/>
      <c r="R62" s="200"/>
      <c r="S62" s="201"/>
    </row>
    <row r="63" spans="1:29">
      <c r="B63" s="463" t="s">
        <v>206</v>
      </c>
      <c r="C63" s="466">
        <v>1.05</v>
      </c>
      <c r="D63" s="464">
        <v>1.02</v>
      </c>
      <c r="E63" s="200"/>
      <c r="F63" s="200"/>
      <c r="G63" s="200"/>
      <c r="H63" s="200"/>
      <c r="I63" s="200"/>
      <c r="J63" s="200"/>
      <c r="K63" s="200"/>
      <c r="L63" s="200"/>
      <c r="M63" s="200"/>
      <c r="N63" s="200"/>
      <c r="O63" s="200"/>
      <c r="P63" s="200"/>
      <c r="Q63" s="200"/>
      <c r="R63" s="200"/>
      <c r="S63" s="201"/>
    </row>
    <row r="64" spans="1:29" ht="15.75" thickBot="1">
      <c r="B64" s="462" t="s">
        <v>207</v>
      </c>
      <c r="C64" s="467">
        <v>1.2</v>
      </c>
      <c r="D64" s="465">
        <v>1.05</v>
      </c>
      <c r="E64" s="200"/>
      <c r="F64" s="200"/>
      <c r="G64" s="200"/>
      <c r="H64" s="200"/>
      <c r="I64" s="200"/>
      <c r="J64" s="200"/>
      <c r="K64" s="200"/>
      <c r="L64" s="200"/>
      <c r="M64" s="200"/>
      <c r="N64" s="200"/>
      <c r="O64" s="200"/>
      <c r="P64" s="200"/>
      <c r="Q64" s="200"/>
      <c r="R64" s="200"/>
      <c r="S64" s="201"/>
    </row>
    <row r="65" spans="1:29">
      <c r="B65" s="199"/>
      <c r="C65" s="200"/>
      <c r="D65" s="200"/>
      <c r="E65" s="200"/>
      <c r="F65" s="200"/>
      <c r="G65" s="200"/>
      <c r="H65" s="200"/>
      <c r="I65" s="200"/>
      <c r="J65" s="200"/>
      <c r="K65" s="200"/>
      <c r="L65" s="200"/>
      <c r="M65" s="200"/>
      <c r="N65" s="200"/>
      <c r="O65" s="200"/>
      <c r="P65" s="200"/>
      <c r="Q65" s="200"/>
      <c r="R65" s="200"/>
      <c r="S65" s="201"/>
    </row>
    <row r="66" spans="1:29" ht="45.75" thickBot="1">
      <c r="B66" s="523" t="s">
        <v>211</v>
      </c>
      <c r="C66" s="204"/>
      <c r="D66" s="204"/>
      <c r="E66" s="204"/>
      <c r="F66" s="204"/>
      <c r="G66" s="204"/>
      <c r="H66" s="204"/>
      <c r="I66" s="204"/>
      <c r="J66" s="204"/>
      <c r="K66" s="204"/>
      <c r="L66" s="204"/>
      <c r="M66" s="204"/>
      <c r="N66" s="204"/>
      <c r="O66" s="204"/>
      <c r="P66" s="204"/>
      <c r="Q66" s="204"/>
      <c r="R66" s="204"/>
      <c r="S66" s="205"/>
    </row>
    <row r="67" spans="1:29" s="99" customFormat="1" ht="18.75">
      <c r="B67" s="112"/>
      <c r="C67" s="115"/>
      <c r="D67" s="112"/>
      <c r="E67" s="112"/>
      <c r="F67" s="112"/>
      <c r="G67" s="112"/>
      <c r="H67" s="112"/>
      <c r="I67" s="112"/>
      <c r="J67" s="112"/>
      <c r="K67" s="112"/>
      <c r="L67" s="112"/>
      <c r="M67" s="112"/>
      <c r="N67" s="112"/>
      <c r="O67" s="112"/>
      <c r="P67" s="112"/>
      <c r="Q67" s="112"/>
      <c r="R67" s="112"/>
      <c r="S67" s="112"/>
    </row>
    <row r="68" spans="1:29" s="99" customFormat="1" ht="19.5" thickBot="1">
      <c r="B68" s="112"/>
      <c r="C68" s="115"/>
      <c r="D68" s="661"/>
      <c r="E68" s="662" t="s">
        <v>213</v>
      </c>
      <c r="F68" s="661"/>
      <c r="G68" s="661"/>
      <c r="H68" s="661"/>
      <c r="I68" s="663"/>
      <c r="J68" s="663"/>
      <c r="K68" s="663"/>
      <c r="L68" s="664" t="s">
        <v>214</v>
      </c>
      <c r="M68" s="663"/>
      <c r="N68" s="663"/>
      <c r="O68" s="663"/>
      <c r="P68" s="663"/>
      <c r="Q68" s="663"/>
      <c r="R68" s="663"/>
      <c r="S68" s="663"/>
      <c r="T68" s="665"/>
      <c r="U68" s="665"/>
      <c r="V68" s="665"/>
      <c r="W68" s="665"/>
      <c r="X68" s="665"/>
      <c r="Y68" s="665"/>
      <c r="Z68" s="665"/>
      <c r="AA68" s="665"/>
      <c r="AB68" s="665"/>
      <c r="AC68" s="665"/>
    </row>
    <row r="69" spans="1:29" ht="15.75" thickBot="1">
      <c r="A69" s="99"/>
      <c r="C69" s="570" t="s">
        <v>48</v>
      </c>
      <c r="D69" s="399">
        <v>2015</v>
      </c>
      <c r="E69" s="399">
        <v>2016</v>
      </c>
      <c r="F69" s="399">
        <v>2017</v>
      </c>
      <c r="G69" s="399">
        <v>2018</v>
      </c>
      <c r="H69" s="399">
        <v>2019</v>
      </c>
      <c r="I69" s="469">
        <v>2020</v>
      </c>
      <c r="J69" s="399">
        <v>2021</v>
      </c>
      <c r="K69" s="399">
        <v>2022</v>
      </c>
      <c r="L69" s="399">
        <v>2023</v>
      </c>
      <c r="M69" s="399">
        <v>2024</v>
      </c>
      <c r="N69" s="399">
        <v>2025</v>
      </c>
      <c r="O69" s="399">
        <v>2026</v>
      </c>
      <c r="P69" s="399">
        <v>2027</v>
      </c>
      <c r="Q69" s="399">
        <v>2028</v>
      </c>
      <c r="R69" s="399">
        <v>2029</v>
      </c>
      <c r="S69" s="399">
        <v>2030</v>
      </c>
      <c r="T69" s="399">
        <v>2031</v>
      </c>
      <c r="U69" s="399">
        <v>2032</v>
      </c>
      <c r="V69" s="399">
        <v>2033</v>
      </c>
      <c r="W69" s="399">
        <v>2034</v>
      </c>
      <c r="X69" s="399">
        <v>2035</v>
      </c>
      <c r="Y69" s="399">
        <v>2036</v>
      </c>
      <c r="Z69" s="399">
        <v>2037</v>
      </c>
      <c r="AA69" s="399">
        <v>2038</v>
      </c>
      <c r="AB69" s="399">
        <v>2039</v>
      </c>
      <c r="AC69" s="399">
        <v>2040</v>
      </c>
    </row>
    <row r="70" spans="1:29">
      <c r="A70" s="99"/>
      <c r="B70" s="573" t="s">
        <v>55</v>
      </c>
      <c r="C70" s="571"/>
      <c r="D70" s="427"/>
      <c r="E70" s="427"/>
      <c r="F70" s="427"/>
      <c r="G70" s="427"/>
      <c r="H70" s="427"/>
      <c r="I70" s="427"/>
      <c r="J70" s="427"/>
      <c r="K70" s="427"/>
      <c r="L70" s="427"/>
      <c r="M70" s="427"/>
      <c r="N70" s="427"/>
      <c r="O70" s="427"/>
      <c r="P70" s="427"/>
      <c r="Q70" s="427"/>
      <c r="R70" s="427"/>
      <c r="S70" s="427"/>
      <c r="T70" s="427"/>
      <c r="U70" s="427"/>
      <c r="V70" s="427"/>
      <c r="W70" s="427"/>
      <c r="X70" s="427"/>
      <c r="Y70" s="427"/>
      <c r="Z70" s="427"/>
      <c r="AA70" s="427"/>
      <c r="AB70" s="427"/>
      <c r="AC70" s="427"/>
    </row>
    <row r="71" spans="1:29">
      <c r="B71" s="168" t="s">
        <v>165</v>
      </c>
      <c r="C71" s="574" t="s">
        <v>161</v>
      </c>
      <c r="D71" s="427">
        <f>'REF_SCENARIO Costs'!C19</f>
        <v>1.05</v>
      </c>
      <c r="E71" s="427">
        <f>'REF_SCENARIO Costs'!D19</f>
        <v>1.05</v>
      </c>
      <c r="F71" s="427">
        <f>'REF_SCENARIO Costs'!E19</f>
        <v>1.05</v>
      </c>
      <c r="G71" s="427">
        <f>'REF_SCENARIO Costs'!F19</f>
        <v>1.05</v>
      </c>
      <c r="H71" s="427">
        <f>'REF_SCENARIO Costs'!G19</f>
        <v>1.05</v>
      </c>
      <c r="I71" s="169">
        <f>'REF_SCENARIO Costs'!H19</f>
        <v>1.02</v>
      </c>
      <c r="J71" s="427">
        <f>'REF_SCENARIO Costs'!I19</f>
        <v>1.02</v>
      </c>
      <c r="K71" s="427">
        <f>'REF_SCENARIO Costs'!J19</f>
        <v>1.02</v>
      </c>
      <c r="L71" s="427">
        <f>'REF_SCENARIO Costs'!K19</f>
        <v>1.02</v>
      </c>
      <c r="M71" s="427">
        <f>'REF_SCENARIO Costs'!L19</f>
        <v>1.02</v>
      </c>
      <c r="N71" s="427">
        <f>'REF_SCENARIO Costs'!M19</f>
        <v>1.02</v>
      </c>
      <c r="O71" s="427">
        <f>'REF_SCENARIO Costs'!N19</f>
        <v>1.02</v>
      </c>
      <c r="P71" s="427">
        <f>'REF_SCENARIO Costs'!O19</f>
        <v>1.02</v>
      </c>
      <c r="Q71" s="427">
        <f>'REF_SCENARIO Costs'!P19</f>
        <v>1.02</v>
      </c>
      <c r="R71" s="427">
        <f>'REF_SCENARIO Costs'!Q19</f>
        <v>1.02</v>
      </c>
      <c r="S71" s="427">
        <f>'REF_SCENARIO Costs'!R19</f>
        <v>1.02</v>
      </c>
      <c r="T71" s="427">
        <f>'REF_SCENARIO Costs'!S19</f>
        <v>1.02</v>
      </c>
      <c r="U71" s="427">
        <f>'REF_SCENARIO Costs'!T19</f>
        <v>1.02</v>
      </c>
      <c r="V71" s="427">
        <f>'REF_SCENARIO Costs'!U19</f>
        <v>1.02</v>
      </c>
      <c r="W71" s="427">
        <f>'REF_SCENARIO Costs'!V19</f>
        <v>1.02</v>
      </c>
      <c r="X71" s="427">
        <f>'REF_SCENARIO Costs'!W19</f>
        <v>1.02</v>
      </c>
      <c r="Y71" s="427">
        <f>'REF_SCENARIO Costs'!X19</f>
        <v>1.02</v>
      </c>
      <c r="Z71" s="427">
        <f>'REF_SCENARIO Costs'!Y19</f>
        <v>1.02</v>
      </c>
      <c r="AA71" s="427">
        <f>'REF_SCENARIO Costs'!Z19</f>
        <v>1.02</v>
      </c>
      <c r="AB71" s="427">
        <f>'REF_SCENARIO Costs'!AA19</f>
        <v>1.02</v>
      </c>
      <c r="AC71" s="427">
        <f>'REF_SCENARIO Costs'!AB19</f>
        <v>1.02</v>
      </c>
    </row>
    <row r="72" spans="1:29">
      <c r="B72" s="168" t="s">
        <v>166</v>
      </c>
      <c r="C72" s="574" t="s">
        <v>162</v>
      </c>
      <c r="D72" s="427">
        <f>'REF_SCENARIO Costs'!C20</f>
        <v>1.2</v>
      </c>
      <c r="E72" s="427">
        <f>'REF_SCENARIO Costs'!D20</f>
        <v>1.2</v>
      </c>
      <c r="F72" s="427">
        <f>'REF_SCENARIO Costs'!E20</f>
        <v>1.2</v>
      </c>
      <c r="G72" s="427">
        <f>'REF_SCENARIO Costs'!F20</f>
        <v>1.2</v>
      </c>
      <c r="H72" s="427">
        <f>'REF_SCENARIO Costs'!G20</f>
        <v>1.2</v>
      </c>
      <c r="I72" s="169">
        <f>'REF_SCENARIO Costs'!H20</f>
        <v>1.05</v>
      </c>
      <c r="J72" s="427">
        <f>'REF_SCENARIO Costs'!I20</f>
        <v>1.05</v>
      </c>
      <c r="K72" s="427">
        <f>'REF_SCENARIO Costs'!J20</f>
        <v>1.05</v>
      </c>
      <c r="L72" s="427">
        <f>'REF_SCENARIO Costs'!K20</f>
        <v>1.05</v>
      </c>
      <c r="M72" s="427">
        <f>'REF_SCENARIO Costs'!L20</f>
        <v>1.05</v>
      </c>
      <c r="N72" s="427">
        <f>'REF_SCENARIO Costs'!M20</f>
        <v>1.05</v>
      </c>
      <c r="O72" s="427">
        <f>'REF_SCENARIO Costs'!N20</f>
        <v>1.05</v>
      </c>
      <c r="P72" s="427">
        <f>'REF_SCENARIO Costs'!O20</f>
        <v>1.05</v>
      </c>
      <c r="Q72" s="427">
        <f>'REF_SCENARIO Costs'!P20</f>
        <v>1.05</v>
      </c>
      <c r="R72" s="427">
        <f>'REF_SCENARIO Costs'!Q20</f>
        <v>1.05</v>
      </c>
      <c r="S72" s="427">
        <f>'REF_SCENARIO Costs'!R20</f>
        <v>1.05</v>
      </c>
      <c r="T72" s="427">
        <f>'REF_SCENARIO Costs'!S20</f>
        <v>1.05</v>
      </c>
      <c r="U72" s="427">
        <f>'REF_SCENARIO Costs'!T20</f>
        <v>1.05</v>
      </c>
      <c r="V72" s="427">
        <f>'REF_SCENARIO Costs'!U20</f>
        <v>1.05</v>
      </c>
      <c r="W72" s="427">
        <f>'REF_SCENARIO Costs'!V20</f>
        <v>1.05</v>
      </c>
      <c r="X72" s="427">
        <f>'REF_SCENARIO Costs'!W20</f>
        <v>1.05</v>
      </c>
      <c r="Y72" s="427">
        <f>'REF_SCENARIO Costs'!X20</f>
        <v>1.05</v>
      </c>
      <c r="Z72" s="427">
        <f>'REF_SCENARIO Costs'!Y20</f>
        <v>1.05</v>
      </c>
      <c r="AA72" s="427">
        <f>'REF_SCENARIO Costs'!Z20</f>
        <v>1.05</v>
      </c>
      <c r="AB72" s="427">
        <f>'REF_SCENARIO Costs'!AA20</f>
        <v>1.05</v>
      </c>
      <c r="AC72" s="427">
        <f>'REF_SCENARIO Costs'!AB20</f>
        <v>1.05</v>
      </c>
    </row>
    <row r="73" spans="1:29">
      <c r="B73" s="170" t="s">
        <v>56</v>
      </c>
      <c r="C73" s="574"/>
      <c r="D73" s="427"/>
      <c r="E73" s="427"/>
      <c r="F73" s="427"/>
      <c r="G73" s="427"/>
      <c r="H73" s="427"/>
      <c r="I73" s="169"/>
      <c r="J73" s="427"/>
      <c r="K73" s="427"/>
      <c r="L73" s="427"/>
      <c r="M73" s="427"/>
      <c r="N73" s="427"/>
      <c r="O73" s="427"/>
      <c r="P73" s="427"/>
      <c r="Q73" s="427"/>
      <c r="R73" s="427"/>
      <c r="S73" s="427"/>
      <c r="T73" s="427"/>
      <c r="U73" s="427"/>
      <c r="V73" s="427"/>
      <c r="W73" s="427"/>
      <c r="X73" s="427"/>
      <c r="Y73" s="427"/>
      <c r="Z73" s="427"/>
      <c r="AA73" s="427"/>
      <c r="AB73" s="427"/>
      <c r="AC73" s="427"/>
    </row>
    <row r="74" spans="1:29">
      <c r="B74" s="168" t="s">
        <v>168</v>
      </c>
      <c r="C74" s="574" t="s">
        <v>163</v>
      </c>
      <c r="D74" s="427">
        <f>'REF_SCENARIO Costs'!C27</f>
        <v>2.1</v>
      </c>
      <c r="E74" s="427">
        <f>'REF_SCENARIO Costs'!D27</f>
        <v>2.1</v>
      </c>
      <c r="F74" s="427">
        <f>'REF_SCENARIO Costs'!E27</f>
        <v>2.1</v>
      </c>
      <c r="G74" s="427">
        <f>'REF_SCENARIO Costs'!F27</f>
        <v>2.1</v>
      </c>
      <c r="H74" s="427">
        <f>'REF_SCENARIO Costs'!G27</f>
        <v>2.1</v>
      </c>
      <c r="I74" s="169">
        <f>'REF_SCENARIO Costs'!H27</f>
        <v>2.04</v>
      </c>
      <c r="J74" s="427">
        <f>'REF_SCENARIO Costs'!I27</f>
        <v>2.04</v>
      </c>
      <c r="K74" s="427">
        <f>'REF_SCENARIO Costs'!J27</f>
        <v>2.04</v>
      </c>
      <c r="L74" s="427">
        <f>'REF_SCENARIO Costs'!K27</f>
        <v>2.04</v>
      </c>
      <c r="M74" s="427">
        <f>'REF_SCENARIO Costs'!L27</f>
        <v>2.04</v>
      </c>
      <c r="N74" s="427">
        <f>'REF_SCENARIO Costs'!M27</f>
        <v>2.04</v>
      </c>
      <c r="O74" s="427">
        <f>'REF_SCENARIO Costs'!N27</f>
        <v>2.04</v>
      </c>
      <c r="P74" s="427">
        <f>'REF_SCENARIO Costs'!O27</f>
        <v>2.04</v>
      </c>
      <c r="Q74" s="427">
        <f>'REF_SCENARIO Costs'!P27</f>
        <v>2.04</v>
      </c>
      <c r="R74" s="427">
        <f>'REF_SCENARIO Costs'!Q27</f>
        <v>2.04</v>
      </c>
      <c r="S74" s="427">
        <f>'REF_SCENARIO Costs'!R27</f>
        <v>2.04</v>
      </c>
      <c r="T74" s="427">
        <f>'REF_SCENARIO Costs'!S27</f>
        <v>2.04</v>
      </c>
      <c r="U74" s="427">
        <f>'REF_SCENARIO Costs'!T27</f>
        <v>2.04</v>
      </c>
      <c r="V74" s="427">
        <f>'REF_SCENARIO Costs'!U27</f>
        <v>2.04</v>
      </c>
      <c r="W74" s="427">
        <f>'REF_SCENARIO Costs'!V27</f>
        <v>2.04</v>
      </c>
      <c r="X74" s="427">
        <f>'REF_SCENARIO Costs'!W27</f>
        <v>2.04</v>
      </c>
      <c r="Y74" s="427">
        <f>'REF_SCENARIO Costs'!X27</f>
        <v>2.04</v>
      </c>
      <c r="Z74" s="427">
        <f>'REF_SCENARIO Costs'!Y27</f>
        <v>2.04</v>
      </c>
      <c r="AA74" s="427">
        <f>'REF_SCENARIO Costs'!Z27</f>
        <v>2.04</v>
      </c>
      <c r="AB74" s="427">
        <f>'REF_SCENARIO Costs'!AA27</f>
        <v>2.04</v>
      </c>
      <c r="AC74" s="427">
        <f>'REF_SCENARIO Costs'!AB27</f>
        <v>2.04</v>
      </c>
    </row>
    <row r="75" spans="1:29">
      <c r="B75" s="168" t="s">
        <v>167</v>
      </c>
      <c r="C75" s="574" t="s">
        <v>164</v>
      </c>
      <c r="D75" s="427">
        <f>'REF_SCENARIO Costs'!C28</f>
        <v>2.4</v>
      </c>
      <c r="E75" s="427">
        <f>'REF_SCENARIO Costs'!D28</f>
        <v>2.4</v>
      </c>
      <c r="F75" s="427">
        <f>'REF_SCENARIO Costs'!E28</f>
        <v>2.4</v>
      </c>
      <c r="G75" s="427">
        <f>'REF_SCENARIO Costs'!F28</f>
        <v>2.4</v>
      </c>
      <c r="H75" s="427">
        <f>'REF_SCENARIO Costs'!G28</f>
        <v>2.4</v>
      </c>
      <c r="I75" s="169">
        <f>'REF_SCENARIO Costs'!H28</f>
        <v>2.1</v>
      </c>
      <c r="J75" s="427">
        <f>'REF_SCENARIO Costs'!I28</f>
        <v>2.1</v>
      </c>
      <c r="K75" s="427">
        <f>'REF_SCENARIO Costs'!J28</f>
        <v>2.1</v>
      </c>
      <c r="L75" s="427">
        <f>'REF_SCENARIO Costs'!K28</f>
        <v>2.1</v>
      </c>
      <c r="M75" s="427">
        <f>'REF_SCENARIO Costs'!L28</f>
        <v>2.1</v>
      </c>
      <c r="N75" s="427">
        <f>'REF_SCENARIO Costs'!M28</f>
        <v>2.1</v>
      </c>
      <c r="O75" s="427">
        <f>'REF_SCENARIO Costs'!N28</f>
        <v>2.1</v>
      </c>
      <c r="P75" s="427">
        <f>'REF_SCENARIO Costs'!O28</f>
        <v>2.1</v>
      </c>
      <c r="Q75" s="427">
        <f>'REF_SCENARIO Costs'!P28</f>
        <v>2.1</v>
      </c>
      <c r="R75" s="427">
        <f>'REF_SCENARIO Costs'!Q28</f>
        <v>2.1</v>
      </c>
      <c r="S75" s="427">
        <f>'REF_SCENARIO Costs'!R28</f>
        <v>2.1</v>
      </c>
      <c r="T75" s="427">
        <f>'REF_SCENARIO Costs'!S28</f>
        <v>2.1</v>
      </c>
      <c r="U75" s="427">
        <f>'REF_SCENARIO Costs'!T28</f>
        <v>2.1</v>
      </c>
      <c r="V75" s="427">
        <f>'REF_SCENARIO Costs'!U28</f>
        <v>2.1</v>
      </c>
      <c r="W75" s="427">
        <f>'REF_SCENARIO Costs'!V28</f>
        <v>2.1</v>
      </c>
      <c r="X75" s="427">
        <f>'REF_SCENARIO Costs'!W28</f>
        <v>2.1</v>
      </c>
      <c r="Y75" s="427">
        <f>'REF_SCENARIO Costs'!X28</f>
        <v>2.1</v>
      </c>
      <c r="Z75" s="427">
        <f>'REF_SCENARIO Costs'!Y28</f>
        <v>2.1</v>
      </c>
      <c r="AA75" s="427">
        <f>'REF_SCENARIO Costs'!Z28</f>
        <v>2.1</v>
      </c>
      <c r="AB75" s="427">
        <f>'REF_SCENARIO Costs'!AA28</f>
        <v>2.1</v>
      </c>
      <c r="AC75" s="427">
        <f>'REF_SCENARIO Costs'!AB28</f>
        <v>2.1</v>
      </c>
    </row>
    <row r="76" spans="1:29" ht="15.75" thickBot="1">
      <c r="B76" s="173"/>
      <c r="C76" s="572"/>
      <c r="D76" s="428"/>
      <c r="E76" s="428"/>
      <c r="F76" s="428"/>
      <c r="G76" s="428"/>
      <c r="H76" s="428"/>
      <c r="I76" s="180"/>
      <c r="J76" s="428"/>
      <c r="K76" s="428"/>
      <c r="L76" s="428"/>
      <c r="M76" s="428"/>
      <c r="N76" s="428"/>
      <c r="O76" s="428"/>
      <c r="P76" s="428"/>
      <c r="Q76" s="428"/>
      <c r="R76" s="428"/>
      <c r="S76" s="428"/>
      <c r="T76" s="428"/>
      <c r="U76" s="428"/>
      <c r="V76" s="428"/>
      <c r="W76" s="428"/>
      <c r="X76" s="428"/>
      <c r="Y76" s="428"/>
      <c r="Z76" s="428"/>
      <c r="AA76" s="428"/>
      <c r="AB76" s="428"/>
      <c r="AC76" s="428"/>
    </row>
    <row r="77" spans="1:29" ht="15.75" thickBot="1">
      <c r="C77" s="575" t="s">
        <v>53</v>
      </c>
      <c r="D77" s="165">
        <v>2015</v>
      </c>
      <c r="E77" s="166">
        <v>2016</v>
      </c>
      <c r="F77" s="166">
        <v>2017</v>
      </c>
      <c r="G77" s="166">
        <v>2018</v>
      </c>
      <c r="H77" s="167">
        <v>2019</v>
      </c>
      <c r="I77" s="470">
        <v>2020</v>
      </c>
      <c r="J77" s="166">
        <v>2021</v>
      </c>
      <c r="K77" s="166">
        <v>2022</v>
      </c>
      <c r="L77" s="166">
        <v>2023</v>
      </c>
      <c r="M77" s="166">
        <v>2024</v>
      </c>
      <c r="N77" s="166">
        <v>2025</v>
      </c>
      <c r="O77" s="166">
        <v>2026</v>
      </c>
      <c r="P77" s="166">
        <v>2027</v>
      </c>
      <c r="Q77" s="166">
        <v>2028</v>
      </c>
      <c r="R77" s="166">
        <v>2029</v>
      </c>
      <c r="S77" s="167">
        <v>2030</v>
      </c>
      <c r="T77" s="165">
        <v>2031</v>
      </c>
      <c r="U77" s="167">
        <v>2032</v>
      </c>
      <c r="V77" s="166">
        <v>2033</v>
      </c>
      <c r="W77" s="167">
        <v>2034</v>
      </c>
      <c r="X77" s="166">
        <v>2035</v>
      </c>
      <c r="Y77" s="167">
        <v>2036</v>
      </c>
      <c r="Z77" s="166">
        <v>2037</v>
      </c>
      <c r="AA77" s="167">
        <v>2038</v>
      </c>
      <c r="AB77" s="166">
        <v>2039</v>
      </c>
      <c r="AC77" s="167">
        <v>2040</v>
      </c>
    </row>
    <row r="78" spans="1:29">
      <c r="B78" s="585" t="s">
        <v>55</v>
      </c>
      <c r="C78" s="586"/>
      <c r="D78" s="174"/>
      <c r="E78" s="174"/>
      <c r="F78" s="174"/>
      <c r="G78" s="174"/>
      <c r="H78" s="174"/>
      <c r="I78" s="174"/>
      <c r="J78" s="174"/>
      <c r="K78" s="174"/>
      <c r="L78" s="174"/>
      <c r="M78" s="174"/>
      <c r="N78" s="174"/>
      <c r="O78" s="174"/>
      <c r="P78" s="174"/>
      <c r="Q78" s="174"/>
      <c r="R78" s="174"/>
      <c r="S78" s="174"/>
      <c r="T78" s="174"/>
      <c r="U78" s="174"/>
      <c r="V78" s="174"/>
      <c r="W78" s="174"/>
      <c r="X78" s="174"/>
      <c r="Y78" s="174"/>
      <c r="Z78" s="174"/>
      <c r="AA78" s="174"/>
      <c r="AB78" s="174"/>
      <c r="AC78" s="582"/>
    </row>
    <row r="79" spans="1:29">
      <c r="B79" s="171" t="s">
        <v>165</v>
      </c>
      <c r="C79" s="587" t="s">
        <v>161</v>
      </c>
      <c r="D79" s="176">
        <f>'REF_SCENARIO Costs'!C37</f>
        <v>6.3000000000000007</v>
      </c>
      <c r="E79" s="176">
        <f>'REF_SCENARIO Costs'!D37</f>
        <v>6.3000000000000007</v>
      </c>
      <c r="F79" s="176">
        <f>'REF_SCENARIO Costs'!E37</f>
        <v>6.3000000000000007</v>
      </c>
      <c r="G79" s="176">
        <f>'REF_SCENARIO Costs'!F37</f>
        <v>6.3000000000000007</v>
      </c>
      <c r="H79" s="176">
        <f>'REF_SCENARIO Costs'!G37</f>
        <v>6.3000000000000007</v>
      </c>
      <c r="I79" s="176">
        <f>'REF_SCENARIO Costs'!H37</f>
        <v>6.12</v>
      </c>
      <c r="J79" s="176">
        <f>'REF_SCENARIO Costs'!I37</f>
        <v>6.12</v>
      </c>
      <c r="K79" s="176">
        <f>'REF_SCENARIO Costs'!J37</f>
        <v>6.12</v>
      </c>
      <c r="L79" s="176">
        <f>'REF_SCENARIO Costs'!K37</f>
        <v>6.12</v>
      </c>
      <c r="M79" s="176">
        <f>'REF_SCENARIO Costs'!L37</f>
        <v>6.12</v>
      </c>
      <c r="N79" s="176">
        <f>'REF_SCENARIO Costs'!M37</f>
        <v>6.12</v>
      </c>
      <c r="O79" s="176">
        <f>'REF_SCENARIO Costs'!N37</f>
        <v>6.12</v>
      </c>
      <c r="P79" s="176">
        <f>'REF_SCENARIO Costs'!O37</f>
        <v>6.12</v>
      </c>
      <c r="Q79" s="176">
        <f>'REF_SCENARIO Costs'!P37</f>
        <v>6.12</v>
      </c>
      <c r="R79" s="176">
        <f>'REF_SCENARIO Costs'!Q37</f>
        <v>6.12</v>
      </c>
      <c r="S79" s="176">
        <f>'REF_SCENARIO Costs'!R37</f>
        <v>6.12</v>
      </c>
      <c r="T79" s="176">
        <f>'REF_SCENARIO Costs'!S37</f>
        <v>6.12</v>
      </c>
      <c r="U79" s="176">
        <f>'REF_SCENARIO Costs'!T37</f>
        <v>6.12</v>
      </c>
      <c r="V79" s="176">
        <f>'REF_SCENARIO Costs'!U37</f>
        <v>6.12</v>
      </c>
      <c r="W79" s="176">
        <f>'REF_SCENARIO Costs'!V37</f>
        <v>6.12</v>
      </c>
      <c r="X79" s="176">
        <f>'REF_SCENARIO Costs'!W37</f>
        <v>6.12</v>
      </c>
      <c r="Y79" s="176">
        <f>'REF_SCENARIO Costs'!X37</f>
        <v>6.12</v>
      </c>
      <c r="Z79" s="176">
        <f>'REF_SCENARIO Costs'!Y37</f>
        <v>6.12</v>
      </c>
      <c r="AA79" s="176">
        <f>'REF_SCENARIO Costs'!Z37</f>
        <v>6.12</v>
      </c>
      <c r="AB79" s="176">
        <f>'REF_SCENARIO Costs'!AA37</f>
        <v>6.12</v>
      </c>
      <c r="AC79" s="589">
        <f>'REF_SCENARIO Costs'!AB37</f>
        <v>6.12</v>
      </c>
    </row>
    <row r="80" spans="1:29">
      <c r="B80" s="171" t="s">
        <v>166</v>
      </c>
      <c r="C80" s="587" t="s">
        <v>162</v>
      </c>
      <c r="D80" s="176">
        <f>'REF_SCENARIO Costs'!C38</f>
        <v>7.1999999999999993</v>
      </c>
      <c r="E80" s="176">
        <f>'REF_SCENARIO Costs'!D38</f>
        <v>7.1999999999999993</v>
      </c>
      <c r="F80" s="176">
        <f>'REF_SCENARIO Costs'!E38</f>
        <v>7.1999999999999993</v>
      </c>
      <c r="G80" s="176">
        <f>'REF_SCENARIO Costs'!F38</f>
        <v>7.1999999999999993</v>
      </c>
      <c r="H80" s="176">
        <f>'REF_SCENARIO Costs'!G38</f>
        <v>7.1999999999999993</v>
      </c>
      <c r="I80" s="176">
        <f>'REF_SCENARIO Costs'!H38</f>
        <v>6.3000000000000007</v>
      </c>
      <c r="J80" s="176">
        <f>'REF_SCENARIO Costs'!I38</f>
        <v>6.3000000000000007</v>
      </c>
      <c r="K80" s="176">
        <f>'REF_SCENARIO Costs'!J38</f>
        <v>6.3000000000000007</v>
      </c>
      <c r="L80" s="176">
        <f>'REF_SCENARIO Costs'!K38</f>
        <v>6.3000000000000007</v>
      </c>
      <c r="M80" s="176">
        <f>'REF_SCENARIO Costs'!L38</f>
        <v>6.3000000000000007</v>
      </c>
      <c r="N80" s="176">
        <f>'REF_SCENARIO Costs'!M38</f>
        <v>6.3000000000000007</v>
      </c>
      <c r="O80" s="176">
        <f>'REF_SCENARIO Costs'!N38</f>
        <v>6.3000000000000007</v>
      </c>
      <c r="P80" s="176">
        <f>'REF_SCENARIO Costs'!O38</f>
        <v>6.3000000000000007</v>
      </c>
      <c r="Q80" s="176">
        <f>'REF_SCENARIO Costs'!P38</f>
        <v>6.3000000000000007</v>
      </c>
      <c r="R80" s="176">
        <f>'REF_SCENARIO Costs'!Q38</f>
        <v>6.3000000000000007</v>
      </c>
      <c r="S80" s="176">
        <f>'REF_SCENARIO Costs'!R38</f>
        <v>6.3000000000000007</v>
      </c>
      <c r="T80" s="176">
        <f>'REF_SCENARIO Costs'!S38</f>
        <v>6.3000000000000007</v>
      </c>
      <c r="U80" s="176">
        <f>'REF_SCENARIO Costs'!T38</f>
        <v>6.3000000000000007</v>
      </c>
      <c r="V80" s="176">
        <f>'REF_SCENARIO Costs'!U38</f>
        <v>6.3000000000000007</v>
      </c>
      <c r="W80" s="176">
        <f>'REF_SCENARIO Costs'!V38</f>
        <v>6.3000000000000007</v>
      </c>
      <c r="X80" s="176">
        <f>'REF_SCENARIO Costs'!W38</f>
        <v>6.3000000000000007</v>
      </c>
      <c r="Y80" s="176">
        <f>'REF_SCENARIO Costs'!X38</f>
        <v>6.3000000000000007</v>
      </c>
      <c r="Z80" s="176">
        <f>'REF_SCENARIO Costs'!Y38</f>
        <v>6.3000000000000007</v>
      </c>
      <c r="AA80" s="176">
        <f>'REF_SCENARIO Costs'!Z38</f>
        <v>6.3000000000000007</v>
      </c>
      <c r="AB80" s="176">
        <f>'REF_SCENARIO Costs'!AA38</f>
        <v>6.3000000000000007</v>
      </c>
      <c r="AC80" s="589">
        <f>'REF_SCENARIO Costs'!AB38</f>
        <v>6.3000000000000007</v>
      </c>
    </row>
    <row r="81" spans="2:29">
      <c r="B81" s="172" t="s">
        <v>56</v>
      </c>
      <c r="C81" s="587"/>
      <c r="D81" s="171"/>
      <c r="E81" s="171"/>
      <c r="F81" s="171"/>
      <c r="G81" s="171"/>
      <c r="H81" s="171"/>
      <c r="I81" s="171"/>
      <c r="J81" s="171"/>
      <c r="K81" s="171"/>
      <c r="L81" s="171"/>
      <c r="M81" s="171"/>
      <c r="N81" s="171"/>
      <c r="O81" s="171"/>
      <c r="P81" s="171"/>
      <c r="Q81" s="171"/>
      <c r="R81" s="171"/>
      <c r="S81" s="171"/>
      <c r="T81" s="171"/>
      <c r="U81" s="171"/>
      <c r="V81" s="171"/>
      <c r="W81" s="171"/>
      <c r="X81" s="171"/>
      <c r="Y81" s="171"/>
      <c r="Z81" s="171"/>
      <c r="AA81" s="171"/>
      <c r="AB81" s="171"/>
      <c r="AC81" s="583"/>
    </row>
    <row r="82" spans="2:29">
      <c r="B82" s="171" t="s">
        <v>168</v>
      </c>
      <c r="C82" s="587" t="s">
        <v>163</v>
      </c>
      <c r="D82" s="176">
        <f>'REF_SCENARIO Costs'!C45</f>
        <v>10.5</v>
      </c>
      <c r="E82" s="176">
        <f>'REF_SCENARIO Costs'!D45</f>
        <v>10.5</v>
      </c>
      <c r="F82" s="176">
        <f>'REF_SCENARIO Costs'!E45</f>
        <v>10.5</v>
      </c>
      <c r="G82" s="176">
        <f>'REF_SCENARIO Costs'!F45</f>
        <v>10.5</v>
      </c>
      <c r="H82" s="176">
        <f>'REF_SCENARIO Costs'!G45</f>
        <v>10.5</v>
      </c>
      <c r="I82" s="176">
        <f>'REF_SCENARIO Costs'!H45</f>
        <v>10.199999999999999</v>
      </c>
      <c r="J82" s="176">
        <f>'REF_SCENARIO Costs'!I45</f>
        <v>10.199999999999999</v>
      </c>
      <c r="K82" s="176">
        <f>'REF_SCENARIO Costs'!J45</f>
        <v>10.199999999999999</v>
      </c>
      <c r="L82" s="176">
        <f>'REF_SCENARIO Costs'!K45</f>
        <v>10.199999999999999</v>
      </c>
      <c r="M82" s="176">
        <f>'REF_SCENARIO Costs'!L45</f>
        <v>10.199999999999999</v>
      </c>
      <c r="N82" s="176">
        <f>'REF_SCENARIO Costs'!M45</f>
        <v>10.199999999999999</v>
      </c>
      <c r="O82" s="176">
        <f>'REF_SCENARIO Costs'!N45</f>
        <v>10.199999999999999</v>
      </c>
      <c r="P82" s="176">
        <f>'REF_SCENARIO Costs'!O45</f>
        <v>10.199999999999999</v>
      </c>
      <c r="Q82" s="176">
        <f>'REF_SCENARIO Costs'!P45</f>
        <v>10.199999999999999</v>
      </c>
      <c r="R82" s="176">
        <f>'REF_SCENARIO Costs'!Q45</f>
        <v>10.199999999999999</v>
      </c>
      <c r="S82" s="176">
        <f>'REF_SCENARIO Costs'!R45</f>
        <v>10.199999999999999</v>
      </c>
      <c r="T82" s="176">
        <f>'REF_SCENARIO Costs'!S45</f>
        <v>10.199999999999999</v>
      </c>
      <c r="U82" s="176">
        <f>'REF_SCENARIO Costs'!T45</f>
        <v>10.199999999999999</v>
      </c>
      <c r="V82" s="176">
        <f>'REF_SCENARIO Costs'!U45</f>
        <v>10.199999999999999</v>
      </c>
      <c r="W82" s="176">
        <f>'REF_SCENARIO Costs'!V45</f>
        <v>10.199999999999999</v>
      </c>
      <c r="X82" s="176">
        <f>'REF_SCENARIO Costs'!W45</f>
        <v>10.199999999999999</v>
      </c>
      <c r="Y82" s="176">
        <f>'REF_SCENARIO Costs'!X45</f>
        <v>10.199999999999999</v>
      </c>
      <c r="Z82" s="176">
        <f>'REF_SCENARIO Costs'!Y45</f>
        <v>10.199999999999999</v>
      </c>
      <c r="AA82" s="176">
        <f>'REF_SCENARIO Costs'!Z45</f>
        <v>10.199999999999999</v>
      </c>
      <c r="AB82" s="176">
        <f>'REF_SCENARIO Costs'!AA45</f>
        <v>10.199999999999999</v>
      </c>
      <c r="AC82" s="589">
        <f>'REF_SCENARIO Costs'!AB45</f>
        <v>10.199999999999999</v>
      </c>
    </row>
    <row r="83" spans="2:29">
      <c r="B83" s="171" t="s">
        <v>167</v>
      </c>
      <c r="C83" s="587" t="s">
        <v>164</v>
      </c>
      <c r="D83" s="176">
        <f>'REF_SCENARIO Costs'!C46</f>
        <v>12</v>
      </c>
      <c r="E83" s="176">
        <f>'REF_SCENARIO Costs'!D46</f>
        <v>12</v>
      </c>
      <c r="F83" s="176">
        <f>'REF_SCENARIO Costs'!E46</f>
        <v>12</v>
      </c>
      <c r="G83" s="176">
        <f>'REF_SCENARIO Costs'!F46</f>
        <v>12</v>
      </c>
      <c r="H83" s="176">
        <f>'REF_SCENARIO Costs'!G46</f>
        <v>12</v>
      </c>
      <c r="I83" s="176">
        <f>'REF_SCENARIO Costs'!H46</f>
        <v>10.5</v>
      </c>
      <c r="J83" s="176">
        <f>'REF_SCENARIO Costs'!I46</f>
        <v>10.5</v>
      </c>
      <c r="K83" s="176">
        <f>'REF_SCENARIO Costs'!J46</f>
        <v>10.5</v>
      </c>
      <c r="L83" s="176">
        <f>'REF_SCENARIO Costs'!K46</f>
        <v>10.5</v>
      </c>
      <c r="M83" s="176">
        <f>'REF_SCENARIO Costs'!L46</f>
        <v>10.5</v>
      </c>
      <c r="N83" s="176">
        <f>'REF_SCENARIO Costs'!M46</f>
        <v>10.5</v>
      </c>
      <c r="O83" s="176">
        <f>'REF_SCENARIO Costs'!N46</f>
        <v>10.5</v>
      </c>
      <c r="P83" s="176">
        <f>'REF_SCENARIO Costs'!O46</f>
        <v>10.5</v>
      </c>
      <c r="Q83" s="176">
        <f>'REF_SCENARIO Costs'!P46</f>
        <v>10.5</v>
      </c>
      <c r="R83" s="176">
        <f>'REF_SCENARIO Costs'!Q46</f>
        <v>10.5</v>
      </c>
      <c r="S83" s="176">
        <f>'REF_SCENARIO Costs'!R46</f>
        <v>10.5</v>
      </c>
      <c r="T83" s="176">
        <f>'REF_SCENARIO Costs'!S46</f>
        <v>10.5</v>
      </c>
      <c r="U83" s="176">
        <f>'REF_SCENARIO Costs'!T46</f>
        <v>10.5</v>
      </c>
      <c r="V83" s="176">
        <f>'REF_SCENARIO Costs'!U46</f>
        <v>10.5</v>
      </c>
      <c r="W83" s="176">
        <f>'REF_SCENARIO Costs'!V46</f>
        <v>10.5</v>
      </c>
      <c r="X83" s="176">
        <f>'REF_SCENARIO Costs'!W46</f>
        <v>10.5</v>
      </c>
      <c r="Y83" s="176">
        <f>'REF_SCENARIO Costs'!X46</f>
        <v>10.5</v>
      </c>
      <c r="Z83" s="176">
        <f>'REF_SCENARIO Costs'!Y46</f>
        <v>10.5</v>
      </c>
      <c r="AA83" s="176">
        <f>'REF_SCENARIO Costs'!Z46</f>
        <v>10.5</v>
      </c>
      <c r="AB83" s="176">
        <f>'REF_SCENARIO Costs'!AA46</f>
        <v>10.5</v>
      </c>
      <c r="AC83" s="589">
        <f>'REF_SCENARIO Costs'!AB46</f>
        <v>10.5</v>
      </c>
    </row>
    <row r="84" spans="2:29" ht="15.75" thickBot="1">
      <c r="B84" s="175"/>
      <c r="C84" s="588"/>
      <c r="D84" s="175"/>
      <c r="E84" s="175"/>
      <c r="F84" s="175"/>
      <c r="G84" s="175"/>
      <c r="H84" s="175"/>
      <c r="I84" s="175"/>
      <c r="J84" s="175"/>
      <c r="K84" s="175"/>
      <c r="L84" s="175"/>
      <c r="M84" s="175"/>
      <c r="N84" s="175"/>
      <c r="O84" s="175"/>
      <c r="P84" s="175"/>
      <c r="Q84" s="175"/>
      <c r="R84" s="175"/>
      <c r="S84" s="175"/>
      <c r="T84" s="175"/>
      <c r="U84" s="175"/>
      <c r="V84" s="175"/>
      <c r="W84" s="175"/>
      <c r="X84" s="175"/>
      <c r="Y84" s="175"/>
      <c r="Z84" s="175"/>
      <c r="AA84" s="175"/>
      <c r="AB84" s="175"/>
      <c r="AC84" s="584"/>
    </row>
    <row r="85" spans="2:29" ht="15.75" thickBot="1">
      <c r="C85" s="575" t="s">
        <v>54</v>
      </c>
      <c r="D85" s="165">
        <v>2015</v>
      </c>
      <c r="E85" s="166">
        <v>2016</v>
      </c>
      <c r="F85" s="166">
        <v>2017</v>
      </c>
      <c r="G85" s="166">
        <v>2018</v>
      </c>
      <c r="H85" s="167">
        <v>2019</v>
      </c>
      <c r="I85" s="470">
        <v>2020</v>
      </c>
      <c r="J85" s="166">
        <v>2021</v>
      </c>
      <c r="K85" s="166">
        <v>2022</v>
      </c>
      <c r="L85" s="166">
        <v>2023</v>
      </c>
      <c r="M85" s="166">
        <v>2024</v>
      </c>
      <c r="N85" s="166">
        <v>2025</v>
      </c>
      <c r="O85" s="166">
        <v>2026</v>
      </c>
      <c r="P85" s="166">
        <v>2027</v>
      </c>
      <c r="Q85" s="166">
        <v>2028</v>
      </c>
      <c r="R85" s="166">
        <v>2029</v>
      </c>
      <c r="S85" s="167">
        <v>2030</v>
      </c>
      <c r="T85" s="165">
        <v>2031</v>
      </c>
      <c r="U85" s="167">
        <v>2032</v>
      </c>
      <c r="V85" s="166">
        <v>2033</v>
      </c>
      <c r="W85" s="167">
        <v>2034</v>
      </c>
      <c r="X85" s="166">
        <v>2035</v>
      </c>
      <c r="Y85" s="167">
        <v>2036</v>
      </c>
      <c r="Z85" s="166">
        <v>2037</v>
      </c>
      <c r="AA85" s="167">
        <v>2038</v>
      </c>
      <c r="AB85" s="166">
        <v>2039</v>
      </c>
      <c r="AC85" s="167">
        <v>2040</v>
      </c>
    </row>
    <row r="86" spans="2:29">
      <c r="B86" s="440" t="s">
        <v>55</v>
      </c>
      <c r="C86" s="576"/>
      <c r="D86" s="179"/>
      <c r="E86" s="179"/>
      <c r="F86" s="179"/>
      <c r="G86" s="179"/>
      <c r="H86" s="179"/>
      <c r="I86" s="179"/>
      <c r="J86" s="179"/>
      <c r="K86" s="179"/>
      <c r="L86" s="179"/>
      <c r="M86" s="179"/>
      <c r="N86" s="179"/>
      <c r="O86" s="179"/>
      <c r="P86" s="179"/>
      <c r="Q86" s="179"/>
      <c r="R86" s="179"/>
      <c r="S86" s="179"/>
      <c r="T86" s="179"/>
      <c r="U86" s="179"/>
      <c r="V86" s="179"/>
      <c r="W86" s="179"/>
      <c r="X86" s="179"/>
      <c r="Y86" s="179"/>
      <c r="Z86" s="179"/>
      <c r="AA86" s="179"/>
      <c r="AB86" s="179"/>
      <c r="AC86" s="555"/>
    </row>
    <row r="87" spans="2:29">
      <c r="B87" s="579" t="s">
        <v>165</v>
      </c>
      <c r="C87" s="577" t="s">
        <v>161</v>
      </c>
      <c r="D87" s="177">
        <f>'REF_SCENARIO Costs'!C117</f>
        <v>15.487500000000001</v>
      </c>
      <c r="E87" s="177">
        <f>'REF_SCENARIO Costs'!D117</f>
        <v>14.4375</v>
      </c>
      <c r="F87" s="177">
        <f>'REF_SCENARIO Costs'!E117</f>
        <v>13.125</v>
      </c>
      <c r="G87" s="177">
        <f>'REF_SCENARIO Costs'!F117</f>
        <v>11.2875</v>
      </c>
      <c r="H87" s="177">
        <f>'REF_SCENARIO Costs'!G117</f>
        <v>9.1875</v>
      </c>
      <c r="I87" s="177">
        <f>'REF_SCENARIO Costs'!H117</f>
        <v>7.1400000000000006</v>
      </c>
      <c r="J87" s="177">
        <f>'REF_SCENARIO Costs'!I117</f>
        <v>6.12</v>
      </c>
      <c r="K87" s="177">
        <f>'REF_SCENARIO Costs'!J117</f>
        <v>6.12</v>
      </c>
      <c r="L87" s="177">
        <f>'REF_SCENARIO Costs'!K117</f>
        <v>6.12</v>
      </c>
      <c r="M87" s="177">
        <f>'REF_SCENARIO Costs'!L117</f>
        <v>6.12</v>
      </c>
      <c r="N87" s="177">
        <f>'REF_SCENARIO Costs'!M117</f>
        <v>6.12</v>
      </c>
      <c r="O87" s="177">
        <f>'REF_SCENARIO Costs'!N117</f>
        <v>6.12</v>
      </c>
      <c r="P87" s="177">
        <f>'REF_SCENARIO Costs'!O117</f>
        <v>6.12</v>
      </c>
      <c r="Q87" s="177">
        <f>'REF_SCENARIO Costs'!P117</f>
        <v>6.12</v>
      </c>
      <c r="R87" s="177">
        <f>'REF_SCENARIO Costs'!Q117</f>
        <v>6.12</v>
      </c>
      <c r="S87" s="177">
        <f>'REF_SCENARIO Costs'!R117</f>
        <v>6.12</v>
      </c>
      <c r="T87" s="177">
        <f>'REF_SCENARIO Costs'!S117</f>
        <v>6.12</v>
      </c>
      <c r="U87" s="177">
        <f>'REF_SCENARIO Costs'!T117</f>
        <v>6.12</v>
      </c>
      <c r="V87" s="177">
        <f>'REF_SCENARIO Costs'!U117</f>
        <v>6.12</v>
      </c>
      <c r="W87" s="177">
        <f>'REF_SCENARIO Costs'!V117</f>
        <v>6.12</v>
      </c>
      <c r="X87" s="177">
        <f>'REF_SCENARIO Costs'!W117</f>
        <v>6.12</v>
      </c>
      <c r="Y87" s="177">
        <f>'REF_SCENARIO Costs'!X117</f>
        <v>6.12</v>
      </c>
      <c r="Z87" s="177">
        <f>'REF_SCENARIO Costs'!Y117</f>
        <v>6.12</v>
      </c>
      <c r="AA87" s="177">
        <f>'REF_SCENARIO Costs'!Z117</f>
        <v>6.12</v>
      </c>
      <c r="AB87" s="177">
        <f>'REF_SCENARIO Costs'!AA117</f>
        <v>6.12</v>
      </c>
      <c r="AC87" s="177">
        <f>'REF_SCENARIO Costs'!AB117</f>
        <v>6.12</v>
      </c>
    </row>
    <row r="88" spans="2:29">
      <c r="B88" s="579" t="s">
        <v>166</v>
      </c>
      <c r="C88" s="577" t="s">
        <v>162</v>
      </c>
      <c r="D88" s="177">
        <f>'REF_SCENARIO Costs'!C118</f>
        <v>17.7</v>
      </c>
      <c r="E88" s="177">
        <f>'REF_SCENARIO Costs'!D118</f>
        <v>16.5</v>
      </c>
      <c r="F88" s="177">
        <f>'REF_SCENARIO Costs'!E118</f>
        <v>15</v>
      </c>
      <c r="G88" s="177">
        <f>'REF_SCENARIO Costs'!F118</f>
        <v>12.9</v>
      </c>
      <c r="H88" s="177">
        <f>'REF_SCENARIO Costs'!G118</f>
        <v>10.5</v>
      </c>
      <c r="I88" s="177">
        <f>'REF_SCENARIO Costs'!H118</f>
        <v>7.3500000000000005</v>
      </c>
      <c r="J88" s="177">
        <f>'REF_SCENARIO Costs'!I118</f>
        <v>6.3000000000000007</v>
      </c>
      <c r="K88" s="177">
        <f>'REF_SCENARIO Costs'!J118</f>
        <v>6.3000000000000007</v>
      </c>
      <c r="L88" s="177">
        <f>'REF_SCENARIO Costs'!K118</f>
        <v>6.3000000000000007</v>
      </c>
      <c r="M88" s="177">
        <f>'REF_SCENARIO Costs'!L118</f>
        <v>6.3000000000000007</v>
      </c>
      <c r="N88" s="177">
        <f>'REF_SCENARIO Costs'!M118</f>
        <v>6.3000000000000007</v>
      </c>
      <c r="O88" s="177">
        <f>'REF_SCENARIO Costs'!N118</f>
        <v>6.3000000000000007</v>
      </c>
      <c r="P88" s="177">
        <f>'REF_SCENARIO Costs'!O118</f>
        <v>6.3000000000000007</v>
      </c>
      <c r="Q88" s="177">
        <f>'REF_SCENARIO Costs'!P118</f>
        <v>6.3000000000000007</v>
      </c>
      <c r="R88" s="177">
        <f>'REF_SCENARIO Costs'!Q118</f>
        <v>6.3000000000000007</v>
      </c>
      <c r="S88" s="177">
        <f>'REF_SCENARIO Costs'!R118</f>
        <v>6.3000000000000007</v>
      </c>
      <c r="T88" s="177">
        <f>'REF_SCENARIO Costs'!S118</f>
        <v>6.3000000000000007</v>
      </c>
      <c r="U88" s="177">
        <f>'REF_SCENARIO Costs'!T118</f>
        <v>6.3000000000000007</v>
      </c>
      <c r="V88" s="177">
        <f>'REF_SCENARIO Costs'!U118</f>
        <v>6.3000000000000007</v>
      </c>
      <c r="W88" s="177">
        <f>'REF_SCENARIO Costs'!V118</f>
        <v>6.3000000000000007</v>
      </c>
      <c r="X88" s="177">
        <f>'REF_SCENARIO Costs'!W118</f>
        <v>6.3000000000000007</v>
      </c>
      <c r="Y88" s="177">
        <f>'REF_SCENARIO Costs'!X118</f>
        <v>6.3000000000000007</v>
      </c>
      <c r="Z88" s="177">
        <f>'REF_SCENARIO Costs'!Y118</f>
        <v>6.3000000000000007</v>
      </c>
      <c r="AA88" s="177">
        <f>'REF_SCENARIO Costs'!Z118</f>
        <v>6.3000000000000007</v>
      </c>
      <c r="AB88" s="177">
        <f>'REF_SCENARIO Costs'!AA118</f>
        <v>6.3000000000000007</v>
      </c>
      <c r="AC88" s="177">
        <f>'REF_SCENARIO Costs'!AB118</f>
        <v>6.3000000000000007</v>
      </c>
    </row>
    <row r="89" spans="2:29">
      <c r="B89" s="580" t="s">
        <v>56</v>
      </c>
      <c r="C89" s="577"/>
      <c r="D89" s="177"/>
      <c r="E89" s="177"/>
      <c r="F89" s="177"/>
      <c r="G89" s="177"/>
      <c r="H89" s="177"/>
      <c r="I89" s="177"/>
      <c r="J89" s="177"/>
      <c r="K89" s="177"/>
      <c r="L89" s="177"/>
      <c r="M89" s="177"/>
      <c r="N89" s="177"/>
      <c r="O89" s="177"/>
      <c r="P89" s="177"/>
      <c r="Q89" s="177"/>
      <c r="R89" s="177"/>
      <c r="S89" s="177"/>
      <c r="T89" s="177"/>
      <c r="U89" s="177"/>
      <c r="V89" s="177"/>
      <c r="W89" s="177"/>
      <c r="X89" s="177"/>
      <c r="Y89" s="177"/>
      <c r="Z89" s="177"/>
      <c r="AA89" s="177"/>
      <c r="AB89" s="177"/>
      <c r="AC89" s="177"/>
    </row>
    <row r="90" spans="2:29">
      <c r="B90" s="579" t="s">
        <v>168</v>
      </c>
      <c r="C90" s="577" t="s">
        <v>163</v>
      </c>
      <c r="D90" s="177">
        <f>'REF_SCENARIO Costs'!C126</f>
        <v>21.525000000000002</v>
      </c>
      <c r="E90" s="177">
        <f>'REF_SCENARIO Costs'!D126</f>
        <v>20.265000000000001</v>
      </c>
      <c r="F90" s="177">
        <f>'REF_SCENARIO Costs'!E126</f>
        <v>18.690000000000001</v>
      </c>
      <c r="G90" s="177">
        <f>'REF_SCENARIO Costs'!F126</f>
        <v>16.484999999999999</v>
      </c>
      <c r="H90" s="177">
        <f>'REF_SCENARIO Costs'!G126</f>
        <v>13.965000000000002</v>
      </c>
      <c r="I90" s="177">
        <f>'REF_SCENARIO Costs'!H126</f>
        <v>11.423999999999999</v>
      </c>
      <c r="J90" s="177">
        <f>'REF_SCENARIO Costs'!I126</f>
        <v>10.199999999999999</v>
      </c>
      <c r="K90" s="177">
        <f>'REF_SCENARIO Costs'!J126</f>
        <v>10.199999999999999</v>
      </c>
      <c r="L90" s="177">
        <f>'REF_SCENARIO Costs'!K126</f>
        <v>10.199999999999999</v>
      </c>
      <c r="M90" s="177">
        <f>'REF_SCENARIO Costs'!L126</f>
        <v>10.199999999999999</v>
      </c>
      <c r="N90" s="177">
        <f>'REF_SCENARIO Costs'!M126</f>
        <v>10.199999999999999</v>
      </c>
      <c r="O90" s="177">
        <f>'REF_SCENARIO Costs'!N126</f>
        <v>10.199999999999999</v>
      </c>
      <c r="P90" s="177">
        <f>'REF_SCENARIO Costs'!O126</f>
        <v>10.199999999999999</v>
      </c>
      <c r="Q90" s="177">
        <f>'REF_SCENARIO Costs'!P126</f>
        <v>10.199999999999999</v>
      </c>
      <c r="R90" s="177">
        <f>'REF_SCENARIO Costs'!Q126</f>
        <v>10.199999999999999</v>
      </c>
      <c r="S90" s="177">
        <f>'REF_SCENARIO Costs'!R126</f>
        <v>10.199999999999999</v>
      </c>
      <c r="T90" s="177">
        <f>'REF_SCENARIO Costs'!S126</f>
        <v>10.199999999999999</v>
      </c>
      <c r="U90" s="177">
        <f>'REF_SCENARIO Costs'!T126</f>
        <v>10.199999999999999</v>
      </c>
      <c r="V90" s="177">
        <f>'REF_SCENARIO Costs'!U126</f>
        <v>10.199999999999999</v>
      </c>
      <c r="W90" s="177">
        <f>'REF_SCENARIO Costs'!V126</f>
        <v>10.199999999999999</v>
      </c>
      <c r="X90" s="177">
        <f>'REF_SCENARIO Costs'!W126</f>
        <v>10.199999999999999</v>
      </c>
      <c r="Y90" s="177">
        <f>'REF_SCENARIO Costs'!X126</f>
        <v>10.199999999999999</v>
      </c>
      <c r="Z90" s="177">
        <f>'REF_SCENARIO Costs'!Y126</f>
        <v>10.199999999999999</v>
      </c>
      <c r="AA90" s="177">
        <f>'REF_SCENARIO Costs'!Z126</f>
        <v>10.199999999999999</v>
      </c>
      <c r="AB90" s="177">
        <f>'REF_SCENARIO Costs'!AA126</f>
        <v>10.199999999999999</v>
      </c>
      <c r="AC90" s="177">
        <f>'REF_SCENARIO Costs'!AB126</f>
        <v>10.199999999999999</v>
      </c>
    </row>
    <row r="91" spans="2:29" ht="15.75" thickBot="1">
      <c r="B91" s="581" t="s">
        <v>167</v>
      </c>
      <c r="C91" s="578" t="s">
        <v>164</v>
      </c>
      <c r="D91" s="178">
        <f>'REF_SCENARIO Costs'!C127</f>
        <v>24.599999999999998</v>
      </c>
      <c r="E91" s="178">
        <f>'REF_SCENARIO Costs'!D127</f>
        <v>23.16</v>
      </c>
      <c r="F91" s="178">
        <f>'REF_SCENARIO Costs'!E127</f>
        <v>21.36</v>
      </c>
      <c r="G91" s="178">
        <f>'REF_SCENARIO Costs'!F127</f>
        <v>18.84</v>
      </c>
      <c r="H91" s="178">
        <f>'REF_SCENARIO Costs'!G127</f>
        <v>15.96</v>
      </c>
      <c r="I91" s="178">
        <f>'REF_SCENARIO Costs'!H127</f>
        <v>11.76</v>
      </c>
      <c r="J91" s="178">
        <f>'REF_SCENARIO Costs'!I127</f>
        <v>10.5</v>
      </c>
      <c r="K91" s="178">
        <f>'REF_SCENARIO Costs'!J127</f>
        <v>10.5</v>
      </c>
      <c r="L91" s="178">
        <f>'REF_SCENARIO Costs'!K127</f>
        <v>10.5</v>
      </c>
      <c r="M91" s="178">
        <f>'REF_SCENARIO Costs'!L127</f>
        <v>10.5</v>
      </c>
      <c r="N91" s="178">
        <f>'REF_SCENARIO Costs'!M127</f>
        <v>10.5</v>
      </c>
      <c r="O91" s="178">
        <f>'REF_SCENARIO Costs'!N127</f>
        <v>10.5</v>
      </c>
      <c r="P91" s="178">
        <f>'REF_SCENARIO Costs'!O127</f>
        <v>10.5</v>
      </c>
      <c r="Q91" s="178">
        <f>'REF_SCENARIO Costs'!P127</f>
        <v>10.5</v>
      </c>
      <c r="R91" s="178">
        <f>'REF_SCENARIO Costs'!Q127</f>
        <v>10.5</v>
      </c>
      <c r="S91" s="178">
        <f>'REF_SCENARIO Costs'!R127</f>
        <v>10.5</v>
      </c>
      <c r="T91" s="178">
        <f>'REF_SCENARIO Costs'!S127</f>
        <v>10.5</v>
      </c>
      <c r="U91" s="178">
        <f>'REF_SCENARIO Costs'!T127</f>
        <v>10.5</v>
      </c>
      <c r="V91" s="178">
        <f>'REF_SCENARIO Costs'!U127</f>
        <v>10.5</v>
      </c>
      <c r="W91" s="178">
        <f>'REF_SCENARIO Costs'!V127</f>
        <v>10.5</v>
      </c>
      <c r="X91" s="178">
        <f>'REF_SCENARIO Costs'!W127</f>
        <v>10.5</v>
      </c>
      <c r="Y91" s="178">
        <f>'REF_SCENARIO Costs'!X127</f>
        <v>10.5</v>
      </c>
      <c r="Z91" s="178">
        <f>'REF_SCENARIO Costs'!Y127</f>
        <v>10.5</v>
      </c>
      <c r="AA91" s="178">
        <f>'REF_SCENARIO Costs'!Z127</f>
        <v>10.5</v>
      </c>
      <c r="AB91" s="178">
        <f>'REF_SCENARIO Costs'!AA127</f>
        <v>10.5</v>
      </c>
      <c r="AC91" s="178">
        <f>'REF_SCENARIO Costs'!AB127</f>
        <v>10.5</v>
      </c>
    </row>
    <row r="92" spans="2:29" s="99" customFormat="1" ht="14.25" customHeight="1">
      <c r="B92" s="214"/>
      <c r="C92" s="215"/>
      <c r="D92" s="216"/>
      <c r="E92" s="216"/>
    </row>
    <row r="93" spans="2:29" s="99" customFormat="1" ht="14.25" customHeight="1" thickBot="1">
      <c r="B93" s="214"/>
      <c r="C93" s="215"/>
      <c r="D93" s="216"/>
      <c r="E93" s="216"/>
    </row>
    <row r="94" spans="2:29" ht="24" thickBot="1">
      <c r="B94" s="285" t="s">
        <v>244</v>
      </c>
      <c r="C94" s="286"/>
      <c r="D94" s="284"/>
      <c r="E94" s="284"/>
      <c r="F94" s="282"/>
      <c r="G94" s="282"/>
      <c r="H94" s="282"/>
      <c r="I94" s="282"/>
      <c r="J94" s="282"/>
      <c r="K94" s="282"/>
      <c r="L94" s="282"/>
      <c r="M94" s="282"/>
      <c r="N94" s="282"/>
      <c r="O94" s="282"/>
      <c r="P94" s="282"/>
      <c r="Q94" s="282"/>
      <c r="R94" s="282"/>
      <c r="S94" s="282"/>
      <c r="T94" s="282"/>
      <c r="U94" s="282"/>
      <c r="V94" s="282"/>
      <c r="W94" s="282"/>
      <c r="X94" s="282"/>
      <c r="Y94" s="282"/>
      <c r="Z94" s="282"/>
      <c r="AA94" s="282"/>
      <c r="AB94" s="282"/>
      <c r="AC94" s="282"/>
    </row>
    <row r="95" spans="2:29" ht="19.5" thickBot="1">
      <c r="B95" s="108"/>
      <c r="C95" s="98"/>
      <c r="D95" s="477">
        <v>2015</v>
      </c>
      <c r="E95" s="477">
        <v>2016</v>
      </c>
      <c r="F95" s="477">
        <v>2017</v>
      </c>
      <c r="G95" s="477">
        <v>2018</v>
      </c>
      <c r="H95" s="477">
        <v>2019</v>
      </c>
      <c r="I95" s="477">
        <v>2020</v>
      </c>
      <c r="J95" s="477">
        <v>2021</v>
      </c>
      <c r="K95" s="477">
        <v>2022</v>
      </c>
      <c r="L95" s="477">
        <v>2023</v>
      </c>
      <c r="M95" s="477">
        <v>2024</v>
      </c>
      <c r="N95" s="477">
        <v>2025</v>
      </c>
      <c r="O95" s="477">
        <v>2026</v>
      </c>
      <c r="P95" s="477">
        <v>2027</v>
      </c>
      <c r="Q95" s="477">
        <v>2028</v>
      </c>
      <c r="R95" s="477">
        <v>2029</v>
      </c>
      <c r="S95" s="477">
        <v>2030</v>
      </c>
      <c r="T95" s="477">
        <v>2031</v>
      </c>
      <c r="U95" s="477">
        <v>2032</v>
      </c>
      <c r="V95" s="477">
        <v>2033</v>
      </c>
      <c r="W95" s="477">
        <v>2034</v>
      </c>
      <c r="X95" s="477">
        <v>2035</v>
      </c>
      <c r="Y95" s="477">
        <v>2036</v>
      </c>
      <c r="Z95" s="477">
        <v>2037</v>
      </c>
      <c r="AA95" s="477">
        <v>2038</v>
      </c>
      <c r="AB95" s="477">
        <v>2039</v>
      </c>
      <c r="AC95" s="477">
        <v>2040</v>
      </c>
    </row>
    <row r="96" spans="2:29" ht="18.75">
      <c r="B96" s="110" t="s">
        <v>44</v>
      </c>
      <c r="C96" s="93"/>
      <c r="D96" s="93">
        <v>1</v>
      </c>
      <c r="E96" s="93">
        <v>2</v>
      </c>
      <c r="F96" s="93">
        <v>3</v>
      </c>
      <c r="G96" s="93">
        <v>4</v>
      </c>
      <c r="H96" s="93">
        <v>5</v>
      </c>
      <c r="I96" s="93">
        <v>6</v>
      </c>
      <c r="J96" s="93">
        <v>7</v>
      </c>
      <c r="K96" s="93">
        <v>8</v>
      </c>
      <c r="L96" s="93">
        <v>9</v>
      </c>
      <c r="M96" s="93">
        <v>10</v>
      </c>
      <c r="N96" s="93">
        <v>11</v>
      </c>
      <c r="O96" s="93">
        <v>12</v>
      </c>
      <c r="P96" s="93">
        <v>13</v>
      </c>
      <c r="Q96" s="93">
        <v>14</v>
      </c>
      <c r="R96" s="93">
        <v>15</v>
      </c>
      <c r="S96" s="93">
        <v>16</v>
      </c>
      <c r="T96" s="93">
        <v>17</v>
      </c>
      <c r="U96" s="93">
        <v>18</v>
      </c>
      <c r="V96" s="93">
        <v>19</v>
      </c>
      <c r="W96" s="93">
        <v>20</v>
      </c>
      <c r="X96" s="93">
        <v>21</v>
      </c>
      <c r="Y96" s="93">
        <v>22</v>
      </c>
      <c r="Z96" s="93">
        <v>23</v>
      </c>
      <c r="AA96" s="93">
        <v>24</v>
      </c>
      <c r="AB96" s="93">
        <v>25</v>
      </c>
      <c r="AC96" s="94">
        <v>26</v>
      </c>
    </row>
    <row r="97" spans="2:34" ht="15.75">
      <c r="B97" s="95" t="s">
        <v>248</v>
      </c>
      <c r="C97" s="96"/>
      <c r="D97" s="96"/>
      <c r="E97" s="96"/>
      <c r="F97" s="96"/>
      <c r="G97" s="96"/>
      <c r="H97" s="96"/>
      <c r="I97" s="96"/>
      <c r="J97" s="96"/>
      <c r="K97" s="96"/>
      <c r="L97" s="96"/>
      <c r="M97" s="105"/>
      <c r="N97" s="101"/>
      <c r="O97" s="101"/>
      <c r="P97" s="102"/>
      <c r="Q97" s="102"/>
      <c r="R97" s="102"/>
      <c r="S97" s="102"/>
      <c r="T97" s="102"/>
      <c r="U97" s="102"/>
      <c r="V97" s="102"/>
      <c r="W97" s="102"/>
      <c r="X97" s="102"/>
      <c r="Y97" s="102"/>
      <c r="Z97" s="102"/>
      <c r="AA97" s="102"/>
      <c r="AB97" s="102"/>
      <c r="AC97" s="103"/>
    </row>
    <row r="98" spans="2:34" ht="15.75">
      <c r="B98" s="100" t="s">
        <v>50</v>
      </c>
      <c r="C98" s="453" t="s">
        <v>156</v>
      </c>
      <c r="D98" s="106">
        <f t="shared" ref="D98:AC98" si="0">(D51-D52)*$C$42</f>
        <v>952704.01508419751</v>
      </c>
      <c r="E98" s="106">
        <f t="shared" si="0"/>
        <v>1883878.994947785</v>
      </c>
      <c r="F98" s="106">
        <f t="shared" si="0"/>
        <v>2831712.0286855288</v>
      </c>
      <c r="G98" s="106">
        <f t="shared" si="0"/>
        <v>3793887.9131114888</v>
      </c>
      <c r="H98" s="106">
        <f t="shared" si="0"/>
        <v>4761164.028553688</v>
      </c>
      <c r="I98" s="106">
        <f t="shared" si="0"/>
        <v>5784285.5941876331</v>
      </c>
      <c r="J98" s="106">
        <f t="shared" si="0"/>
        <v>6568324.369081175</v>
      </c>
      <c r="K98" s="106">
        <f t="shared" si="0"/>
        <v>7375226.9503821945</v>
      </c>
      <c r="L98" s="106">
        <f t="shared" si="0"/>
        <v>8175430.4118768843</v>
      </c>
      <c r="M98" s="106">
        <f t="shared" si="0"/>
        <v>8959672.6358298417</v>
      </c>
      <c r="N98" s="106">
        <f t="shared" si="0"/>
        <v>9759904.9235147554</v>
      </c>
      <c r="O98" s="106">
        <f t="shared" si="0"/>
        <v>10443933.329593228</v>
      </c>
      <c r="P98" s="106">
        <f t="shared" si="0"/>
        <v>11082679.809313791</v>
      </c>
      <c r="Q98" s="106">
        <f t="shared" si="0"/>
        <v>11752168.562324975</v>
      </c>
      <c r="R98" s="106">
        <f t="shared" si="0"/>
        <v>12328204.217200432</v>
      </c>
      <c r="S98" s="106">
        <f t="shared" si="0"/>
        <v>12897175.476157</v>
      </c>
      <c r="T98" s="106">
        <f t="shared" si="0"/>
        <v>12381200.154011119</v>
      </c>
      <c r="U98" s="106">
        <f t="shared" si="0"/>
        <v>11859550.812743876</v>
      </c>
      <c r="V98" s="106">
        <f t="shared" si="0"/>
        <v>11291638.45522847</v>
      </c>
      <c r="W98" s="106">
        <f t="shared" si="0"/>
        <v>10666919.470292376</v>
      </c>
      <c r="X98" s="106">
        <f t="shared" si="0"/>
        <v>10013420.458617445</v>
      </c>
      <c r="Y98" s="106">
        <f t="shared" si="0"/>
        <v>9332821.239096662</v>
      </c>
      <c r="Z98" s="106">
        <f t="shared" si="0"/>
        <v>8612925.0808097478</v>
      </c>
      <c r="AA98" s="106">
        <f t="shared" si="0"/>
        <v>7897073.0779226031</v>
      </c>
      <c r="AB98" s="106">
        <f t="shared" si="0"/>
        <v>7184261.6997969607</v>
      </c>
      <c r="AC98" s="124">
        <f t="shared" si="0"/>
        <v>6507890.9363179775</v>
      </c>
    </row>
    <row r="99" spans="2:34" ht="15.75">
      <c r="B99" s="100"/>
      <c r="C99" s="453" t="s">
        <v>155</v>
      </c>
      <c r="D99" s="106">
        <f t="shared" ref="D99:AC99" si="1">(D51-D52)*$D$42</f>
        <v>2866049.5548594352</v>
      </c>
      <c r="E99" s="106">
        <f t="shared" si="1"/>
        <v>5667332.6336322455</v>
      </c>
      <c r="F99" s="106">
        <f t="shared" si="1"/>
        <v>8518728.6615843773</v>
      </c>
      <c r="G99" s="106">
        <f t="shared" si="1"/>
        <v>11413272.739906322</v>
      </c>
      <c r="H99" s="106">
        <f t="shared" si="1"/>
        <v>14323160.004152052</v>
      </c>
      <c r="I99" s="106">
        <f t="shared" si="1"/>
        <v>17401048.898630057</v>
      </c>
      <c r="J99" s="106">
        <f t="shared" si="1"/>
        <v>19759697.488536105</v>
      </c>
      <c r="K99" s="106">
        <f t="shared" si="1"/>
        <v>22187127.988814127</v>
      </c>
      <c r="L99" s="106">
        <f t="shared" si="1"/>
        <v>24594405.315561984</v>
      </c>
      <c r="M99" s="106">
        <f t="shared" si="1"/>
        <v>26953665.9476941</v>
      </c>
      <c r="N99" s="106">
        <f t="shared" si="1"/>
        <v>29361029.993179724</v>
      </c>
      <c r="O99" s="106">
        <f t="shared" si="1"/>
        <v>31418814.234363131</v>
      </c>
      <c r="P99" s="106">
        <f t="shared" si="1"/>
        <v>33340375.427436672</v>
      </c>
      <c r="Q99" s="106">
        <f t="shared" si="1"/>
        <v>35354419.571442433</v>
      </c>
      <c r="R99" s="106">
        <f t="shared" si="1"/>
        <v>37087325.8110504</v>
      </c>
      <c r="S99" s="106">
        <f t="shared" si="1"/>
        <v>38798980.005471073</v>
      </c>
      <c r="T99" s="106">
        <f t="shared" si="1"/>
        <v>37246755.160250954</v>
      </c>
      <c r="U99" s="106">
        <f t="shared" si="1"/>
        <v>35677460.98424229</v>
      </c>
      <c r="V99" s="106">
        <f t="shared" si="1"/>
        <v>33968992.316444822</v>
      </c>
      <c r="W99" s="106">
        <f t="shared" si="1"/>
        <v>32089630.478623565</v>
      </c>
      <c r="X99" s="106">
        <f t="shared" si="1"/>
        <v>30123688.778098144</v>
      </c>
      <c r="Y99" s="106">
        <f t="shared" si="1"/>
        <v>28076220.667057563</v>
      </c>
      <c r="Z99" s="106">
        <f t="shared" si="1"/>
        <v>25910534.334959045</v>
      </c>
      <c r="AA99" s="106">
        <f t="shared" si="1"/>
        <v>23757014.163178712</v>
      </c>
      <c r="AB99" s="106">
        <f t="shared" si="1"/>
        <v>21612641.198827147</v>
      </c>
      <c r="AC99" s="124">
        <f t="shared" si="1"/>
        <v>19577893.685542494</v>
      </c>
    </row>
    <row r="100" spans="2:34" ht="15.75">
      <c r="B100" s="97" t="s">
        <v>45</v>
      </c>
      <c r="C100" s="448" t="s">
        <v>161</v>
      </c>
      <c r="D100" s="109">
        <f t="shared" ref="D100:AC100" si="2">D50*D71</f>
        <v>13084885.167690495</v>
      </c>
      <c r="E100" s="109">
        <f t="shared" si="2"/>
        <v>12664653.276661752</v>
      </c>
      <c r="F100" s="109">
        <f t="shared" si="2"/>
        <v>12604837.7078982</v>
      </c>
      <c r="G100" s="109">
        <f t="shared" si="2"/>
        <v>12580689.267406814</v>
      </c>
      <c r="H100" s="109">
        <f t="shared" si="2"/>
        <v>12681800.590474624</v>
      </c>
      <c r="I100" s="109">
        <f t="shared" si="2"/>
        <v>12889808.561911957</v>
      </c>
      <c r="J100" s="109">
        <f t="shared" si="2"/>
        <v>9738125.7827961482</v>
      </c>
      <c r="K100" s="109">
        <f t="shared" si="2"/>
        <v>9798533.9119657725</v>
      </c>
      <c r="L100" s="109">
        <f t="shared" si="2"/>
        <v>9874546.0170612652</v>
      </c>
      <c r="M100" s="109">
        <f t="shared" si="2"/>
        <v>10247287.524971407</v>
      </c>
      <c r="N100" s="109">
        <f t="shared" si="2"/>
        <v>9995034.9608167242</v>
      </c>
      <c r="O100" s="109">
        <f t="shared" si="2"/>
        <v>8890333.4672678392</v>
      </c>
      <c r="P100" s="109">
        <f t="shared" si="2"/>
        <v>8846404.21014308</v>
      </c>
      <c r="Q100" s="109">
        <f t="shared" si="2"/>
        <v>8827603.1189934872</v>
      </c>
      <c r="R100" s="109">
        <f t="shared" si="2"/>
        <v>8798277.7723470014</v>
      </c>
      <c r="S100" s="109">
        <f t="shared" si="2"/>
        <v>8658140.3812559471</v>
      </c>
      <c r="T100" s="109">
        <f t="shared" si="2"/>
        <v>0</v>
      </c>
      <c r="U100" s="109">
        <f t="shared" si="2"/>
        <v>0</v>
      </c>
      <c r="V100" s="109">
        <f t="shared" si="2"/>
        <v>0</v>
      </c>
      <c r="W100" s="109">
        <f t="shared" si="2"/>
        <v>0</v>
      </c>
      <c r="X100" s="109">
        <f t="shared" si="2"/>
        <v>0</v>
      </c>
      <c r="Y100" s="109">
        <f t="shared" si="2"/>
        <v>0</v>
      </c>
      <c r="Z100" s="109">
        <f t="shared" si="2"/>
        <v>0</v>
      </c>
      <c r="AA100" s="109">
        <f t="shared" si="2"/>
        <v>0</v>
      </c>
      <c r="AB100" s="109">
        <f t="shared" si="2"/>
        <v>0</v>
      </c>
      <c r="AC100" s="140">
        <f t="shared" si="2"/>
        <v>0</v>
      </c>
    </row>
    <row r="101" spans="2:34" ht="15.75">
      <c r="B101" s="460" t="s">
        <v>198</v>
      </c>
      <c r="C101" s="448" t="s">
        <v>162</v>
      </c>
      <c r="D101" s="109">
        <f t="shared" ref="D101:AC101" si="3">D50*D72</f>
        <v>14954154.477360565</v>
      </c>
      <c r="E101" s="109">
        <f t="shared" si="3"/>
        <v>14473889.459042</v>
      </c>
      <c r="F101" s="109">
        <f t="shared" si="3"/>
        <v>14405528.809026511</v>
      </c>
      <c r="G101" s="109">
        <f t="shared" si="3"/>
        <v>14377930.591322074</v>
      </c>
      <c r="H101" s="109">
        <f t="shared" si="3"/>
        <v>14493486.389113855</v>
      </c>
      <c r="I101" s="109">
        <f t="shared" si="3"/>
        <v>13268920.578438779</v>
      </c>
      <c r="J101" s="109">
        <f t="shared" si="3"/>
        <v>10024541.246996034</v>
      </c>
      <c r="K101" s="109">
        <f t="shared" si="3"/>
        <v>10086726.085847119</v>
      </c>
      <c r="L101" s="109">
        <f t="shared" si="3"/>
        <v>10164973.841092478</v>
      </c>
      <c r="M101" s="109">
        <f t="shared" si="3"/>
        <v>10548678.334529389</v>
      </c>
      <c r="N101" s="109">
        <f t="shared" si="3"/>
        <v>10289006.577311333</v>
      </c>
      <c r="O101" s="109">
        <f t="shared" si="3"/>
        <v>9151813.8633639533</v>
      </c>
      <c r="P101" s="109">
        <f t="shared" si="3"/>
        <v>9106592.5692649353</v>
      </c>
      <c r="Q101" s="109">
        <f t="shared" si="3"/>
        <v>9087238.5048462376</v>
      </c>
      <c r="R101" s="109">
        <f t="shared" si="3"/>
        <v>9057050.6480042674</v>
      </c>
      <c r="S101" s="109">
        <f t="shared" si="3"/>
        <v>8912791.5689399466</v>
      </c>
      <c r="T101" s="109">
        <f t="shared" si="3"/>
        <v>0</v>
      </c>
      <c r="U101" s="109">
        <f t="shared" si="3"/>
        <v>0</v>
      </c>
      <c r="V101" s="109">
        <f t="shared" si="3"/>
        <v>0</v>
      </c>
      <c r="W101" s="109">
        <f t="shared" si="3"/>
        <v>0</v>
      </c>
      <c r="X101" s="109">
        <f t="shared" si="3"/>
        <v>0</v>
      </c>
      <c r="Y101" s="109">
        <f t="shared" si="3"/>
        <v>0</v>
      </c>
      <c r="Z101" s="109">
        <f t="shared" si="3"/>
        <v>0</v>
      </c>
      <c r="AA101" s="109">
        <f t="shared" si="3"/>
        <v>0</v>
      </c>
      <c r="AB101" s="109">
        <f t="shared" si="3"/>
        <v>0</v>
      </c>
      <c r="AC101" s="140">
        <f t="shared" si="3"/>
        <v>0</v>
      </c>
    </row>
    <row r="102" spans="2:34" ht="15.75">
      <c r="B102" s="97"/>
      <c r="C102" s="448" t="s">
        <v>163</v>
      </c>
      <c r="D102" s="109">
        <f t="shared" ref="D102:AC102" si="4">D50*D74</f>
        <v>26169770.33538099</v>
      </c>
      <c r="E102" s="109">
        <f t="shared" si="4"/>
        <v>25329306.553323504</v>
      </c>
      <c r="F102" s="109">
        <f t="shared" si="4"/>
        <v>25209675.415796399</v>
      </c>
      <c r="G102" s="109">
        <f t="shared" si="4"/>
        <v>25161378.534813628</v>
      </c>
      <c r="H102" s="109">
        <f t="shared" si="4"/>
        <v>25363601.180949248</v>
      </c>
      <c r="I102" s="109">
        <f t="shared" si="4"/>
        <v>25779617.123823915</v>
      </c>
      <c r="J102" s="109">
        <f t="shared" si="4"/>
        <v>19476251.565592296</v>
      </c>
      <c r="K102" s="109">
        <f t="shared" si="4"/>
        <v>19597067.823931545</v>
      </c>
      <c r="L102" s="109">
        <f t="shared" si="4"/>
        <v>19749092.03412253</v>
      </c>
      <c r="M102" s="109">
        <f t="shared" si="4"/>
        <v>20494575.049942814</v>
      </c>
      <c r="N102" s="109">
        <f t="shared" si="4"/>
        <v>19990069.921633448</v>
      </c>
      <c r="O102" s="109">
        <f t="shared" si="4"/>
        <v>17780666.934535678</v>
      </c>
      <c r="P102" s="109">
        <f t="shared" si="4"/>
        <v>17692808.42028616</v>
      </c>
      <c r="Q102" s="109">
        <f t="shared" si="4"/>
        <v>17655206.237986974</v>
      </c>
      <c r="R102" s="109">
        <f t="shared" si="4"/>
        <v>17596555.544694003</v>
      </c>
      <c r="S102" s="109">
        <f t="shared" si="4"/>
        <v>17316280.762511894</v>
      </c>
      <c r="T102" s="109">
        <f t="shared" si="4"/>
        <v>0</v>
      </c>
      <c r="U102" s="109">
        <f t="shared" si="4"/>
        <v>0</v>
      </c>
      <c r="V102" s="109">
        <f t="shared" si="4"/>
        <v>0</v>
      </c>
      <c r="W102" s="109">
        <f t="shared" si="4"/>
        <v>0</v>
      </c>
      <c r="X102" s="109">
        <f t="shared" si="4"/>
        <v>0</v>
      </c>
      <c r="Y102" s="109">
        <f t="shared" si="4"/>
        <v>0</v>
      </c>
      <c r="Z102" s="109">
        <f t="shared" si="4"/>
        <v>0</v>
      </c>
      <c r="AA102" s="109">
        <f t="shared" si="4"/>
        <v>0</v>
      </c>
      <c r="AB102" s="109">
        <f t="shared" si="4"/>
        <v>0</v>
      </c>
      <c r="AC102" s="140">
        <f t="shared" si="4"/>
        <v>0</v>
      </c>
    </row>
    <row r="103" spans="2:34" ht="15.75">
      <c r="B103" s="97"/>
      <c r="C103" s="448" t="s">
        <v>164</v>
      </c>
      <c r="D103" s="109">
        <f t="shared" ref="D103:AC103" si="5">D50*D75</f>
        <v>29908308.95472113</v>
      </c>
      <c r="E103" s="109">
        <f t="shared" si="5"/>
        <v>28947778.918083999</v>
      </c>
      <c r="F103" s="109">
        <f t="shared" si="5"/>
        <v>28811057.618053023</v>
      </c>
      <c r="G103" s="109">
        <f t="shared" si="5"/>
        <v>28755861.182644147</v>
      </c>
      <c r="H103" s="109">
        <f t="shared" si="5"/>
        <v>28986972.778227709</v>
      </c>
      <c r="I103" s="109">
        <f t="shared" si="5"/>
        <v>26537841.156877559</v>
      </c>
      <c r="J103" s="109">
        <f t="shared" si="5"/>
        <v>20049082.493992068</v>
      </c>
      <c r="K103" s="109">
        <f t="shared" si="5"/>
        <v>20173452.171694238</v>
      </c>
      <c r="L103" s="109">
        <f t="shared" si="5"/>
        <v>20329947.682184957</v>
      </c>
      <c r="M103" s="109">
        <f t="shared" si="5"/>
        <v>21097356.669058777</v>
      </c>
      <c r="N103" s="109">
        <f t="shared" si="5"/>
        <v>20578013.154622667</v>
      </c>
      <c r="O103" s="109">
        <f t="shared" si="5"/>
        <v>18303627.726727907</v>
      </c>
      <c r="P103" s="109">
        <f t="shared" si="5"/>
        <v>18213185.138529871</v>
      </c>
      <c r="Q103" s="109">
        <f t="shared" si="5"/>
        <v>18174477.009692475</v>
      </c>
      <c r="R103" s="109">
        <f t="shared" si="5"/>
        <v>18114101.296008535</v>
      </c>
      <c r="S103" s="109">
        <f t="shared" si="5"/>
        <v>17825583.137879893</v>
      </c>
      <c r="T103" s="109">
        <f t="shared" si="5"/>
        <v>0</v>
      </c>
      <c r="U103" s="109">
        <f t="shared" si="5"/>
        <v>0</v>
      </c>
      <c r="V103" s="109">
        <f t="shared" si="5"/>
        <v>0</v>
      </c>
      <c r="W103" s="109">
        <f t="shared" si="5"/>
        <v>0</v>
      </c>
      <c r="X103" s="109">
        <f t="shared" si="5"/>
        <v>0</v>
      </c>
      <c r="Y103" s="109">
        <f t="shared" si="5"/>
        <v>0</v>
      </c>
      <c r="Z103" s="109">
        <f t="shared" si="5"/>
        <v>0</v>
      </c>
      <c r="AA103" s="109">
        <f t="shared" si="5"/>
        <v>0</v>
      </c>
      <c r="AB103" s="109">
        <f t="shared" si="5"/>
        <v>0</v>
      </c>
      <c r="AC103" s="140">
        <f t="shared" si="5"/>
        <v>0</v>
      </c>
    </row>
    <row r="104" spans="2:34" ht="15.75">
      <c r="B104" s="450" t="s">
        <v>46</v>
      </c>
      <c r="C104" s="449" t="s">
        <v>170</v>
      </c>
      <c r="D104" s="107">
        <f>D98-D100</f>
        <v>-12132181.152606297</v>
      </c>
      <c r="E104" s="107">
        <f t="shared" ref="E104:AC104" si="6">E98-E100</f>
        <v>-10780774.281713966</v>
      </c>
      <c r="F104" s="107">
        <f t="shared" si="6"/>
        <v>-9773125.6792126708</v>
      </c>
      <c r="G104" s="107">
        <f t="shared" si="6"/>
        <v>-8786801.3542953245</v>
      </c>
      <c r="H104" s="107">
        <f t="shared" si="6"/>
        <v>-7920636.5619209362</v>
      </c>
      <c r="I104" s="107">
        <f t="shared" si="6"/>
        <v>-7105522.9677243242</v>
      </c>
      <c r="J104" s="107">
        <f t="shared" si="6"/>
        <v>-3169801.4137149733</v>
      </c>
      <c r="K104" s="107">
        <f t="shared" si="6"/>
        <v>-2423306.961583578</v>
      </c>
      <c r="L104" s="107">
        <f t="shared" si="6"/>
        <v>-1699115.6051843809</v>
      </c>
      <c r="M104" s="107">
        <f t="shared" si="6"/>
        <v>-1287614.8891415652</v>
      </c>
      <c r="N104" s="107">
        <f t="shared" si="6"/>
        <v>-235130.03730196878</v>
      </c>
      <c r="O104" s="107">
        <f t="shared" si="6"/>
        <v>1553599.8623253889</v>
      </c>
      <c r="P104" s="107">
        <f t="shared" si="6"/>
        <v>2236275.5991707109</v>
      </c>
      <c r="Q104" s="107">
        <f t="shared" si="6"/>
        <v>2924565.4433314875</v>
      </c>
      <c r="R104" s="107">
        <f t="shared" si="6"/>
        <v>3529926.4448534306</v>
      </c>
      <c r="S104" s="107">
        <f t="shared" si="6"/>
        <v>4239035.0949010532</v>
      </c>
      <c r="T104" s="107">
        <f t="shared" si="6"/>
        <v>12381200.154011119</v>
      </c>
      <c r="U104" s="107">
        <f t="shared" si="6"/>
        <v>11859550.812743876</v>
      </c>
      <c r="V104" s="107">
        <f t="shared" si="6"/>
        <v>11291638.45522847</v>
      </c>
      <c r="W104" s="107">
        <f t="shared" si="6"/>
        <v>10666919.470292376</v>
      </c>
      <c r="X104" s="107">
        <f t="shared" si="6"/>
        <v>10013420.458617445</v>
      </c>
      <c r="Y104" s="107">
        <f t="shared" si="6"/>
        <v>9332821.239096662</v>
      </c>
      <c r="Z104" s="107">
        <f t="shared" si="6"/>
        <v>8612925.0808097478</v>
      </c>
      <c r="AA104" s="107">
        <f t="shared" si="6"/>
        <v>7897073.0779226031</v>
      </c>
      <c r="AB104" s="107">
        <f t="shared" si="6"/>
        <v>7184261.6997969607</v>
      </c>
      <c r="AC104" s="121">
        <f t="shared" si="6"/>
        <v>6507890.9363179775</v>
      </c>
    </row>
    <row r="105" spans="2:34" ht="15.75">
      <c r="B105" s="182"/>
      <c r="C105" s="449" t="s">
        <v>171</v>
      </c>
      <c r="D105" s="107">
        <f>D99-D100</f>
        <v>-10218835.61283106</v>
      </c>
      <c r="E105" s="107">
        <f t="shared" ref="E105:AC105" si="7">E99-E100</f>
        <v>-6997320.6430295063</v>
      </c>
      <c r="F105" s="107">
        <f t="shared" si="7"/>
        <v>-4086109.0463138223</v>
      </c>
      <c r="G105" s="107">
        <f t="shared" si="7"/>
        <v>-1167416.5275004916</v>
      </c>
      <c r="H105" s="107">
        <f t="shared" si="7"/>
        <v>1641359.4136774279</v>
      </c>
      <c r="I105" s="107">
        <f t="shared" si="7"/>
        <v>4511240.3367180992</v>
      </c>
      <c r="J105" s="107">
        <f t="shared" si="7"/>
        <v>10021571.705739956</v>
      </c>
      <c r="K105" s="107">
        <f t="shared" si="7"/>
        <v>12388594.076848354</v>
      </c>
      <c r="L105" s="107">
        <f t="shared" si="7"/>
        <v>14719859.298500719</v>
      </c>
      <c r="M105" s="107">
        <f t="shared" si="7"/>
        <v>16706378.422722694</v>
      </c>
      <c r="N105" s="107">
        <f t="shared" si="7"/>
        <v>19365995.032362998</v>
      </c>
      <c r="O105" s="107">
        <f t="shared" si="7"/>
        <v>22528480.76709529</v>
      </c>
      <c r="P105" s="107">
        <f t="shared" si="7"/>
        <v>24493971.21729359</v>
      </c>
      <c r="Q105" s="107">
        <f t="shared" si="7"/>
        <v>26526816.452448945</v>
      </c>
      <c r="R105" s="107">
        <f t="shared" si="7"/>
        <v>28289048.038703397</v>
      </c>
      <c r="S105" s="107">
        <f t="shared" si="7"/>
        <v>30140839.624215126</v>
      </c>
      <c r="T105" s="107">
        <f t="shared" si="7"/>
        <v>37246755.160250954</v>
      </c>
      <c r="U105" s="107">
        <f t="shared" si="7"/>
        <v>35677460.98424229</v>
      </c>
      <c r="V105" s="107">
        <f t="shared" si="7"/>
        <v>33968992.316444822</v>
      </c>
      <c r="W105" s="107">
        <f t="shared" si="7"/>
        <v>32089630.478623565</v>
      </c>
      <c r="X105" s="107">
        <f t="shared" si="7"/>
        <v>30123688.778098144</v>
      </c>
      <c r="Y105" s="107">
        <f t="shared" si="7"/>
        <v>28076220.667057563</v>
      </c>
      <c r="Z105" s="107">
        <f t="shared" si="7"/>
        <v>25910534.334959045</v>
      </c>
      <c r="AA105" s="107">
        <f t="shared" si="7"/>
        <v>23757014.163178712</v>
      </c>
      <c r="AB105" s="107">
        <f t="shared" si="7"/>
        <v>21612641.198827147</v>
      </c>
      <c r="AC105" s="121">
        <f t="shared" si="7"/>
        <v>19577893.685542494</v>
      </c>
    </row>
    <row r="106" spans="2:34" ht="15.75">
      <c r="B106" s="182"/>
      <c r="C106" s="449" t="s">
        <v>172</v>
      </c>
      <c r="D106" s="107">
        <f>D98-D101</f>
        <v>-14001450.462276367</v>
      </c>
      <c r="E106" s="107">
        <f t="shared" ref="E106:AC106" si="8">E98-E101</f>
        <v>-12590010.464094214</v>
      </c>
      <c r="F106" s="107">
        <f t="shared" si="8"/>
        <v>-11573816.780340983</v>
      </c>
      <c r="G106" s="107">
        <f t="shared" si="8"/>
        <v>-10584042.678210584</v>
      </c>
      <c r="H106" s="107">
        <f t="shared" si="8"/>
        <v>-9732322.3605601676</v>
      </c>
      <c r="I106" s="107">
        <f t="shared" si="8"/>
        <v>-7484634.9842511462</v>
      </c>
      <c r="J106" s="107">
        <f t="shared" si="8"/>
        <v>-3456216.877914859</v>
      </c>
      <c r="K106" s="107">
        <f t="shared" si="8"/>
        <v>-2711499.1354649244</v>
      </c>
      <c r="L106" s="107">
        <f t="shared" si="8"/>
        <v>-1989543.4292155942</v>
      </c>
      <c r="M106" s="107">
        <f t="shared" si="8"/>
        <v>-1589005.698699547</v>
      </c>
      <c r="N106" s="107">
        <f t="shared" si="8"/>
        <v>-529101.65379657783</v>
      </c>
      <c r="O106" s="107">
        <f t="shared" si="8"/>
        <v>1292119.4662292749</v>
      </c>
      <c r="P106" s="107">
        <f t="shared" si="8"/>
        <v>1976087.2400488555</v>
      </c>
      <c r="Q106" s="107">
        <f t="shared" si="8"/>
        <v>2664930.0574787371</v>
      </c>
      <c r="R106" s="107">
        <f t="shared" si="8"/>
        <v>3271153.5691961646</v>
      </c>
      <c r="S106" s="107">
        <f t="shared" si="8"/>
        <v>3984383.9072170537</v>
      </c>
      <c r="T106" s="107">
        <f t="shared" si="8"/>
        <v>12381200.154011119</v>
      </c>
      <c r="U106" s="107">
        <f t="shared" si="8"/>
        <v>11859550.812743876</v>
      </c>
      <c r="V106" s="107">
        <f t="shared" si="8"/>
        <v>11291638.45522847</v>
      </c>
      <c r="W106" s="107">
        <f t="shared" si="8"/>
        <v>10666919.470292376</v>
      </c>
      <c r="X106" s="107">
        <f t="shared" si="8"/>
        <v>10013420.458617445</v>
      </c>
      <c r="Y106" s="107">
        <f t="shared" si="8"/>
        <v>9332821.239096662</v>
      </c>
      <c r="Z106" s="107">
        <f t="shared" si="8"/>
        <v>8612925.0808097478</v>
      </c>
      <c r="AA106" s="107">
        <f t="shared" si="8"/>
        <v>7897073.0779226031</v>
      </c>
      <c r="AB106" s="107">
        <f t="shared" si="8"/>
        <v>7184261.6997969607</v>
      </c>
      <c r="AC106" s="121">
        <f t="shared" si="8"/>
        <v>6507890.9363179775</v>
      </c>
    </row>
    <row r="107" spans="2:34" ht="15.75">
      <c r="B107" s="182"/>
      <c r="C107" s="449" t="s">
        <v>169</v>
      </c>
      <c r="D107" s="107">
        <f>D99-D101</f>
        <v>-12088104.92250113</v>
      </c>
      <c r="E107" s="107">
        <f t="shared" ref="E107:AC107" si="9">E99-E101</f>
        <v>-8806556.8254097551</v>
      </c>
      <c r="F107" s="107">
        <f t="shared" si="9"/>
        <v>-5886800.1474421341</v>
      </c>
      <c r="G107" s="107">
        <f t="shared" si="9"/>
        <v>-2964657.8514157515</v>
      </c>
      <c r="H107" s="107">
        <f t="shared" si="9"/>
        <v>-170326.38496180251</v>
      </c>
      <c r="I107" s="107">
        <f t="shared" si="9"/>
        <v>4132128.3201912772</v>
      </c>
      <c r="J107" s="107">
        <f t="shared" si="9"/>
        <v>9735156.2415400706</v>
      </c>
      <c r="K107" s="107">
        <f t="shared" si="9"/>
        <v>12100401.902967008</v>
      </c>
      <c r="L107" s="107">
        <f t="shared" si="9"/>
        <v>14429431.474469505</v>
      </c>
      <c r="M107" s="107">
        <f t="shared" si="9"/>
        <v>16404987.613164712</v>
      </c>
      <c r="N107" s="107">
        <f t="shared" si="9"/>
        <v>19072023.41586839</v>
      </c>
      <c r="O107" s="107">
        <f t="shared" si="9"/>
        <v>22267000.37099918</v>
      </c>
      <c r="P107" s="107">
        <f t="shared" si="9"/>
        <v>24233782.858171739</v>
      </c>
      <c r="Q107" s="107">
        <f t="shared" si="9"/>
        <v>26267181.066596195</v>
      </c>
      <c r="R107" s="107">
        <f t="shared" si="9"/>
        <v>28030275.163046133</v>
      </c>
      <c r="S107" s="107">
        <f t="shared" si="9"/>
        <v>29886188.436531126</v>
      </c>
      <c r="T107" s="107">
        <f t="shared" si="9"/>
        <v>37246755.160250954</v>
      </c>
      <c r="U107" s="107">
        <f t="shared" si="9"/>
        <v>35677460.98424229</v>
      </c>
      <c r="V107" s="107">
        <f t="shared" si="9"/>
        <v>33968992.316444822</v>
      </c>
      <c r="W107" s="107">
        <f t="shared" si="9"/>
        <v>32089630.478623565</v>
      </c>
      <c r="X107" s="107">
        <f t="shared" si="9"/>
        <v>30123688.778098144</v>
      </c>
      <c r="Y107" s="107">
        <f t="shared" si="9"/>
        <v>28076220.667057563</v>
      </c>
      <c r="Z107" s="107">
        <f t="shared" si="9"/>
        <v>25910534.334959045</v>
      </c>
      <c r="AA107" s="107">
        <f t="shared" si="9"/>
        <v>23757014.163178712</v>
      </c>
      <c r="AB107" s="107">
        <f t="shared" si="9"/>
        <v>21612641.198827147</v>
      </c>
      <c r="AC107" s="121">
        <f t="shared" si="9"/>
        <v>19577893.685542494</v>
      </c>
    </row>
    <row r="108" spans="2:34" ht="15.75">
      <c r="B108" s="182"/>
      <c r="C108" s="449" t="s">
        <v>174</v>
      </c>
      <c r="D108" s="107">
        <f>D98-D102</f>
        <v>-25217066.320296794</v>
      </c>
      <c r="E108" s="107">
        <f t="shared" ref="E108:AC108" si="10">E98-E102</f>
        <v>-23445427.55837572</v>
      </c>
      <c r="F108" s="107">
        <f t="shared" si="10"/>
        <v>-22377963.38711087</v>
      </c>
      <c r="G108" s="107">
        <f t="shared" si="10"/>
        <v>-21367490.621702138</v>
      </c>
      <c r="H108" s="107">
        <f t="shared" si="10"/>
        <v>-20602437.152395561</v>
      </c>
      <c r="I108" s="107">
        <f t="shared" si="10"/>
        <v>-19995331.529636282</v>
      </c>
      <c r="J108" s="107">
        <f t="shared" si="10"/>
        <v>-12907927.196511121</v>
      </c>
      <c r="K108" s="107">
        <f t="shared" si="10"/>
        <v>-12221840.87354935</v>
      </c>
      <c r="L108" s="107">
        <f t="shared" si="10"/>
        <v>-11573661.622245647</v>
      </c>
      <c r="M108" s="107">
        <f t="shared" si="10"/>
        <v>-11534902.414112972</v>
      </c>
      <c r="N108" s="107">
        <f t="shared" si="10"/>
        <v>-10230164.998118693</v>
      </c>
      <c r="O108" s="107">
        <f t="shared" si="10"/>
        <v>-7336733.6049424503</v>
      </c>
      <c r="P108" s="107">
        <f t="shared" si="10"/>
        <v>-6610128.6109723691</v>
      </c>
      <c r="Q108" s="107">
        <f t="shared" si="10"/>
        <v>-5903037.6756619997</v>
      </c>
      <c r="R108" s="107">
        <f t="shared" si="10"/>
        <v>-5268351.3274935707</v>
      </c>
      <c r="S108" s="107">
        <f t="shared" si="10"/>
        <v>-4419105.2863548938</v>
      </c>
      <c r="T108" s="107">
        <f t="shared" si="10"/>
        <v>12381200.154011119</v>
      </c>
      <c r="U108" s="107">
        <f t="shared" si="10"/>
        <v>11859550.812743876</v>
      </c>
      <c r="V108" s="107">
        <f t="shared" si="10"/>
        <v>11291638.45522847</v>
      </c>
      <c r="W108" s="107">
        <f t="shared" si="10"/>
        <v>10666919.470292376</v>
      </c>
      <c r="X108" s="107">
        <f t="shared" si="10"/>
        <v>10013420.458617445</v>
      </c>
      <c r="Y108" s="107">
        <f t="shared" si="10"/>
        <v>9332821.239096662</v>
      </c>
      <c r="Z108" s="107">
        <f t="shared" si="10"/>
        <v>8612925.0808097478</v>
      </c>
      <c r="AA108" s="107">
        <f t="shared" si="10"/>
        <v>7897073.0779226031</v>
      </c>
      <c r="AB108" s="107">
        <f t="shared" si="10"/>
        <v>7184261.6997969607</v>
      </c>
      <c r="AC108" s="121">
        <f t="shared" si="10"/>
        <v>6507890.9363179775</v>
      </c>
    </row>
    <row r="109" spans="2:34" ht="15.75">
      <c r="B109" s="182"/>
      <c r="C109" s="449" t="s">
        <v>173</v>
      </c>
      <c r="D109" s="107">
        <f>D99-D102</f>
        <v>-23303720.780521557</v>
      </c>
      <c r="E109" s="107">
        <f t="shared" ref="E109:AC109" si="11">E99-E102</f>
        <v>-19661973.919691257</v>
      </c>
      <c r="F109" s="107">
        <f t="shared" si="11"/>
        <v>-16690946.754212022</v>
      </c>
      <c r="G109" s="107">
        <f t="shared" si="11"/>
        <v>-13748105.794907305</v>
      </c>
      <c r="H109" s="107">
        <f t="shared" si="11"/>
        <v>-11040441.176797196</v>
      </c>
      <c r="I109" s="107">
        <f t="shared" si="11"/>
        <v>-8378568.2251938581</v>
      </c>
      <c r="J109" s="107">
        <f t="shared" si="11"/>
        <v>283445.92294380814</v>
      </c>
      <c r="K109" s="107">
        <f t="shared" si="11"/>
        <v>2590060.1648825817</v>
      </c>
      <c r="L109" s="107">
        <f t="shared" si="11"/>
        <v>4845313.2814394534</v>
      </c>
      <c r="M109" s="107">
        <f t="shared" si="11"/>
        <v>6459090.8977512866</v>
      </c>
      <c r="N109" s="107">
        <f t="shared" si="11"/>
        <v>9370960.0715462752</v>
      </c>
      <c r="O109" s="107">
        <f t="shared" si="11"/>
        <v>13638147.299827453</v>
      </c>
      <c r="P109" s="107">
        <f t="shared" si="11"/>
        <v>15647567.007150512</v>
      </c>
      <c r="Q109" s="107">
        <f t="shared" si="11"/>
        <v>17699213.333455458</v>
      </c>
      <c r="R109" s="107">
        <f t="shared" si="11"/>
        <v>19490770.266356397</v>
      </c>
      <c r="S109" s="107">
        <f t="shared" si="11"/>
        <v>21482699.242959179</v>
      </c>
      <c r="T109" s="107">
        <f t="shared" si="11"/>
        <v>37246755.160250954</v>
      </c>
      <c r="U109" s="107">
        <f t="shared" si="11"/>
        <v>35677460.98424229</v>
      </c>
      <c r="V109" s="107">
        <f t="shared" si="11"/>
        <v>33968992.316444822</v>
      </c>
      <c r="W109" s="107">
        <f t="shared" si="11"/>
        <v>32089630.478623565</v>
      </c>
      <c r="X109" s="107">
        <f t="shared" si="11"/>
        <v>30123688.778098144</v>
      </c>
      <c r="Y109" s="107">
        <f t="shared" si="11"/>
        <v>28076220.667057563</v>
      </c>
      <c r="Z109" s="107">
        <f t="shared" si="11"/>
        <v>25910534.334959045</v>
      </c>
      <c r="AA109" s="107">
        <f t="shared" si="11"/>
        <v>23757014.163178712</v>
      </c>
      <c r="AB109" s="107">
        <f t="shared" si="11"/>
        <v>21612641.198827147</v>
      </c>
      <c r="AC109" s="121">
        <f t="shared" si="11"/>
        <v>19577893.685542494</v>
      </c>
    </row>
    <row r="110" spans="2:34" ht="15.75">
      <c r="B110" s="182"/>
      <c r="C110" s="449" t="s">
        <v>175</v>
      </c>
      <c r="D110" s="107">
        <f>D98-D103</f>
        <v>-28955604.939636935</v>
      </c>
      <c r="E110" s="107">
        <f t="shared" ref="E110:AC110" si="12">E98-E103</f>
        <v>-27063899.923136216</v>
      </c>
      <c r="F110" s="107">
        <f t="shared" si="12"/>
        <v>-25979345.589367494</v>
      </c>
      <c r="G110" s="107">
        <f t="shared" si="12"/>
        <v>-24961973.269532658</v>
      </c>
      <c r="H110" s="107">
        <f t="shared" si="12"/>
        <v>-24225808.749674022</v>
      </c>
      <c r="I110" s="107">
        <f t="shared" si="12"/>
        <v>-20753555.562689926</v>
      </c>
      <c r="J110" s="107">
        <f t="shared" si="12"/>
        <v>-13480758.124910893</v>
      </c>
      <c r="K110" s="107">
        <f t="shared" si="12"/>
        <v>-12798225.221312042</v>
      </c>
      <c r="L110" s="107">
        <f t="shared" si="12"/>
        <v>-12154517.270308074</v>
      </c>
      <c r="M110" s="107">
        <f t="shared" si="12"/>
        <v>-12137684.033228936</v>
      </c>
      <c r="N110" s="107">
        <f t="shared" si="12"/>
        <v>-10818108.231107911</v>
      </c>
      <c r="O110" s="107">
        <f t="shared" si="12"/>
        <v>-7859694.3971346784</v>
      </c>
      <c r="P110" s="107">
        <f t="shared" si="12"/>
        <v>-7130505.3292160798</v>
      </c>
      <c r="Q110" s="107">
        <f t="shared" si="12"/>
        <v>-6422308.4473675005</v>
      </c>
      <c r="R110" s="107">
        <f t="shared" si="12"/>
        <v>-5785897.0788081028</v>
      </c>
      <c r="S110" s="107">
        <f t="shared" si="12"/>
        <v>-4928407.6617228929</v>
      </c>
      <c r="T110" s="107">
        <f t="shared" si="12"/>
        <v>12381200.154011119</v>
      </c>
      <c r="U110" s="107">
        <f t="shared" si="12"/>
        <v>11859550.812743876</v>
      </c>
      <c r="V110" s="107">
        <f t="shared" si="12"/>
        <v>11291638.45522847</v>
      </c>
      <c r="W110" s="107">
        <f t="shared" si="12"/>
        <v>10666919.470292376</v>
      </c>
      <c r="X110" s="107">
        <f t="shared" si="12"/>
        <v>10013420.458617445</v>
      </c>
      <c r="Y110" s="107">
        <f t="shared" si="12"/>
        <v>9332821.239096662</v>
      </c>
      <c r="Z110" s="107">
        <f t="shared" si="12"/>
        <v>8612925.0808097478</v>
      </c>
      <c r="AA110" s="107">
        <f t="shared" si="12"/>
        <v>7897073.0779226031</v>
      </c>
      <c r="AB110" s="107">
        <f t="shared" si="12"/>
        <v>7184261.6997969607</v>
      </c>
      <c r="AC110" s="121">
        <f t="shared" si="12"/>
        <v>6507890.9363179775</v>
      </c>
    </row>
    <row r="111" spans="2:34" ht="16.5" thickBot="1">
      <c r="B111" s="451"/>
      <c r="C111" s="452" t="s">
        <v>176</v>
      </c>
      <c r="D111" s="400">
        <f>D99-D103</f>
        <v>-27042259.399861693</v>
      </c>
      <c r="E111" s="400">
        <f t="shared" ref="E111:AC111" si="13">E99-E103</f>
        <v>-23280446.284451753</v>
      </c>
      <c r="F111" s="400">
        <f t="shared" si="13"/>
        <v>-20292328.956468645</v>
      </c>
      <c r="G111" s="400">
        <f t="shared" si="13"/>
        <v>-17342588.442737825</v>
      </c>
      <c r="H111" s="400">
        <f t="shared" si="13"/>
        <v>-14663812.774075657</v>
      </c>
      <c r="I111" s="400">
        <f t="shared" si="13"/>
        <v>-9136792.2582475021</v>
      </c>
      <c r="J111" s="400">
        <f t="shared" si="13"/>
        <v>-289385.00545596331</v>
      </c>
      <c r="K111" s="400">
        <f t="shared" si="13"/>
        <v>2013675.817119889</v>
      </c>
      <c r="L111" s="400">
        <f t="shared" si="13"/>
        <v>4264457.6333770268</v>
      </c>
      <c r="M111" s="400">
        <f t="shared" si="13"/>
        <v>5856309.278635323</v>
      </c>
      <c r="N111" s="400">
        <f t="shared" si="13"/>
        <v>8783016.8385570571</v>
      </c>
      <c r="O111" s="400">
        <f t="shared" si="13"/>
        <v>13115186.507635225</v>
      </c>
      <c r="P111" s="400">
        <f t="shared" si="13"/>
        <v>15127190.288906801</v>
      </c>
      <c r="Q111" s="400">
        <f t="shared" si="13"/>
        <v>17179942.561749958</v>
      </c>
      <c r="R111" s="400">
        <f t="shared" si="13"/>
        <v>18973224.515041865</v>
      </c>
      <c r="S111" s="400">
        <f t="shared" si="13"/>
        <v>20973396.86759118</v>
      </c>
      <c r="T111" s="400">
        <f t="shared" si="13"/>
        <v>37246755.160250954</v>
      </c>
      <c r="U111" s="400">
        <f t="shared" si="13"/>
        <v>35677460.98424229</v>
      </c>
      <c r="V111" s="400">
        <f t="shared" si="13"/>
        <v>33968992.316444822</v>
      </c>
      <c r="W111" s="400">
        <f t="shared" si="13"/>
        <v>32089630.478623565</v>
      </c>
      <c r="X111" s="400">
        <f t="shared" si="13"/>
        <v>30123688.778098144</v>
      </c>
      <c r="Y111" s="400">
        <f t="shared" si="13"/>
        <v>28076220.667057563</v>
      </c>
      <c r="Z111" s="400">
        <f t="shared" si="13"/>
        <v>25910534.334959045</v>
      </c>
      <c r="AA111" s="400">
        <f t="shared" si="13"/>
        <v>23757014.163178712</v>
      </c>
      <c r="AB111" s="400">
        <f t="shared" si="13"/>
        <v>21612641.198827147</v>
      </c>
      <c r="AC111" s="472">
        <f t="shared" si="13"/>
        <v>19577893.685542494</v>
      </c>
    </row>
    <row r="112" spans="2:34" ht="19.5" thickBot="1">
      <c r="B112" s="635" t="s">
        <v>177</v>
      </c>
      <c r="C112" s="454"/>
      <c r="D112" s="457" t="s">
        <v>47</v>
      </c>
      <c r="E112" s="457" t="s">
        <v>72</v>
      </c>
      <c r="F112" s="604" t="s">
        <v>71</v>
      </c>
      <c r="G112" s="643" t="s">
        <v>233</v>
      </c>
      <c r="I112" s="566" t="s">
        <v>245</v>
      </c>
      <c r="J112" s="559"/>
      <c r="K112" s="559"/>
      <c r="L112" s="569" t="s">
        <v>246</v>
      </c>
      <c r="M112" s="556"/>
      <c r="N112" s="556"/>
      <c r="O112" s="556"/>
      <c r="P112" s="556"/>
      <c r="Q112" s="557"/>
      <c r="T112" s="508" t="s">
        <v>221</v>
      </c>
      <c r="U112" s="508" t="s">
        <v>222</v>
      </c>
      <c r="V112" s="508" t="s">
        <v>223</v>
      </c>
      <c r="W112" s="508" t="s">
        <v>224</v>
      </c>
      <c r="X112" s="508" t="s">
        <v>225</v>
      </c>
      <c r="Y112" s="509" t="s">
        <v>226</v>
      </c>
      <c r="AC112" s="114"/>
      <c r="AD112" s="114"/>
      <c r="AE112" s="114"/>
      <c r="AF112" s="114"/>
      <c r="AG112" s="114"/>
      <c r="AH112" s="114"/>
    </row>
    <row r="113" spans="2:34" ht="19.5" thickBot="1">
      <c r="B113" s="635"/>
      <c r="C113" s="645" t="s">
        <v>181</v>
      </c>
      <c r="D113" s="647">
        <f>NPV(10%,E104:AC104)+D104</f>
        <v>-32011515.297061708</v>
      </c>
      <c r="E113" s="647">
        <f t="shared" ref="E113:E120" si="14">NPV(6%,E104:AC104)+D104</f>
        <v>-18761243.998424925</v>
      </c>
      <c r="F113" s="647">
        <f>NPV(3%,E104:AC104)+D104</f>
        <v>2896306.858587293</v>
      </c>
      <c r="G113" s="648">
        <f>NPV(0%,E104:AC104)+D104</f>
        <v>44917092.925019324</v>
      </c>
      <c r="I113" s="558" t="s">
        <v>179</v>
      </c>
      <c r="J113" s="559" t="s">
        <v>215</v>
      </c>
      <c r="K113" s="559" t="s">
        <v>216</v>
      </c>
      <c r="L113" s="567" t="s">
        <v>178</v>
      </c>
      <c r="M113" s="568" t="s">
        <v>180</v>
      </c>
      <c r="N113" s="568" t="s">
        <v>217</v>
      </c>
      <c r="O113" s="568" t="s">
        <v>218</v>
      </c>
      <c r="P113" s="568" t="s">
        <v>219</v>
      </c>
      <c r="Q113" s="509" t="s">
        <v>220</v>
      </c>
      <c r="S113" s="505" t="s">
        <v>161</v>
      </c>
      <c r="T113" s="483">
        <f>L114/I114</f>
        <v>0.67115484412849047</v>
      </c>
      <c r="U113" s="484">
        <f>M114/I114</f>
        <v>2.0190562984939384</v>
      </c>
      <c r="V113" s="485">
        <f>N114/J114</f>
        <v>0.84159343748863102</v>
      </c>
      <c r="W113" s="483">
        <f>O114/J114</f>
        <v>2.5317920977521458</v>
      </c>
      <c r="X113" s="483">
        <f>P114/K114</f>
        <v>0.71003132333529162</v>
      </c>
      <c r="Y113" s="486">
        <f>$Q$114/K114</f>
        <v>2.1360096377903068</v>
      </c>
      <c r="AC113" s="114"/>
      <c r="AD113" s="114"/>
      <c r="AE113" s="114"/>
      <c r="AF113" s="114"/>
      <c r="AG113" s="114"/>
      <c r="AH113" s="114"/>
    </row>
    <row r="114" spans="2:34" ht="18.75">
      <c r="B114" s="476"/>
      <c r="C114" s="644" t="s">
        <v>182</v>
      </c>
      <c r="D114" s="517">
        <f>NPV(10%,E105:AC105)+D105</f>
        <v>99200294.440560684</v>
      </c>
      <c r="E114" s="517">
        <f t="shared" si="14"/>
        <v>181421305.05940753</v>
      </c>
      <c r="F114" s="517">
        <f t="shared" ref="F114:F120" si="15">NPV(3%,E105:AC105)+D105</f>
        <v>290647865.29751629</v>
      </c>
      <c r="G114" s="649">
        <f t="shared" ref="G114:G120" si="16">NPV(0%,E105:AC105)+D105</f>
        <v>476905304.32387644</v>
      </c>
      <c r="H114" s="639" t="s">
        <v>161</v>
      </c>
      <c r="I114" s="563">
        <f>NPV(10%,E100:AC100)+D100</f>
        <v>97345254.219191402</v>
      </c>
      <c r="J114" s="494">
        <f>NPV(6%,E100:AC100)+D100</f>
        <v>118437290.10329618</v>
      </c>
      <c r="K114" s="495">
        <f>NPV(3%,E100:AC100)+D100</f>
        <v>140382604.01900908</v>
      </c>
      <c r="L114" s="560">
        <f>NPV(10%,E98:AC98)+D98</f>
        <v>65333738.922129683</v>
      </c>
      <c r="M114" s="502">
        <f>NPV(10%,E99:AC99)+D99</f>
        <v>196545548.65975204</v>
      </c>
      <c r="N114" s="491">
        <f>NPV(6%,E98:AC98)+D98</f>
        <v>99676046.104871243</v>
      </c>
      <c r="O114" s="491">
        <f>NPV(6%,E99:AC99)+D99</f>
        <v>299858595.16270369</v>
      </c>
      <c r="P114" s="492">
        <f>NPV(6%,E98:AC98)+D98</f>
        <v>99676046.104871243</v>
      </c>
      <c r="Q114" s="491">
        <f>NPV(6%,E99:AC99)+D99</f>
        <v>299858595.16270369</v>
      </c>
      <c r="S114" s="506" t="s">
        <v>162</v>
      </c>
      <c r="T114" s="483">
        <f>L114/I115</f>
        <v>0.61498897427226584</v>
      </c>
      <c r="U114" s="484">
        <f>M114/I115</f>
        <v>1.850090739672924</v>
      </c>
      <c r="V114" s="485">
        <f>N114/J115</f>
        <v>0.77646770953613908</v>
      </c>
      <c r="W114" s="483">
        <f>O114/J115</f>
        <v>2.3358723150569505</v>
      </c>
      <c r="X114" s="483">
        <f>P114/K115</f>
        <v>0.6586969741501234</v>
      </c>
      <c r="Y114" s="486">
        <f>$Q$114/K115</f>
        <v>1.9815788950814632</v>
      </c>
      <c r="AC114" s="114"/>
      <c r="AD114" s="114"/>
      <c r="AE114" s="114"/>
      <c r="AF114" s="114"/>
      <c r="AG114" s="114"/>
      <c r="AH114" s="114"/>
    </row>
    <row r="115" spans="2:34" ht="18.75">
      <c r="B115" s="476"/>
      <c r="C115" s="644" t="s">
        <v>183</v>
      </c>
      <c r="D115" s="517">
        <f t="shared" ref="D115:D120" si="17">NPV(10%,E106:AC106)+D106</f>
        <v>-40901887.496117875</v>
      </c>
      <c r="E115" s="517">
        <f t="shared" si="14"/>
        <v>-28695095.258389823</v>
      </c>
      <c r="F115" s="517">
        <f t="shared" si="15"/>
        <v>-8044155.7472005337</v>
      </c>
      <c r="G115" s="649">
        <f t="shared" si="16"/>
        <v>32694731.100182354</v>
      </c>
      <c r="H115" s="640" t="s">
        <v>162</v>
      </c>
      <c r="I115" s="564">
        <f>NPV(10%,E101:AC101)+D101</f>
        <v>106235626.41824755</v>
      </c>
      <c r="J115" s="497">
        <f>NPV(6%,E101:AC101)+D101</f>
        <v>128371141.36326107</v>
      </c>
      <c r="K115" s="498">
        <f>NPV(3%,E101:AC101)+D101</f>
        <v>151323066.6247969</v>
      </c>
      <c r="L115" s="561"/>
      <c r="M115" s="503"/>
      <c r="N115" s="503"/>
      <c r="O115" s="503"/>
      <c r="P115" s="503"/>
      <c r="Q115" s="503"/>
      <c r="S115" s="506" t="s">
        <v>163</v>
      </c>
      <c r="T115" s="483">
        <f>L114/I116</f>
        <v>0.33557742206424523</v>
      </c>
      <c r="U115" s="484">
        <f>M114/I116</f>
        <v>1.0095281492469692</v>
      </c>
      <c r="V115" s="485">
        <f>N114/J116</f>
        <v>0.42079671874431551</v>
      </c>
      <c r="W115" s="483">
        <f>O114/J116</f>
        <v>1.2658960488760729</v>
      </c>
      <c r="X115" s="483">
        <f>P114/K116</f>
        <v>0.35501566166764581</v>
      </c>
      <c r="Y115" s="486">
        <f>$Q$114/K116</f>
        <v>1.0680048188951534</v>
      </c>
      <c r="AC115" s="114"/>
      <c r="AD115" s="114"/>
      <c r="AE115" s="114"/>
      <c r="AF115" s="114"/>
      <c r="AG115" s="114"/>
      <c r="AH115" s="114"/>
    </row>
    <row r="116" spans="2:34" ht="19.5" thickBot="1">
      <c r="B116" s="476"/>
      <c r="C116" s="644" t="s">
        <v>184</v>
      </c>
      <c r="D116" s="517">
        <f t="shared" si="17"/>
        <v>90309922.24150452</v>
      </c>
      <c r="E116" s="517">
        <f t="shared" si="14"/>
        <v>171487453.79944268</v>
      </c>
      <c r="F116" s="517">
        <f t="shared" si="15"/>
        <v>279707402.69172847</v>
      </c>
      <c r="G116" s="649">
        <f t="shared" si="16"/>
        <v>464682942.49903947</v>
      </c>
      <c r="H116" s="640" t="s">
        <v>163</v>
      </c>
      <c r="I116" s="564">
        <f>NPV(10%,E102:AC102)+D102</f>
        <v>194690508.4383828</v>
      </c>
      <c r="J116" s="497">
        <f>NPV(6%,E102:AC102)+D102</f>
        <v>236874580.20659235</v>
      </c>
      <c r="K116" s="498">
        <f>NPV(3%,E102:AC102)+D102</f>
        <v>280765208.03801817</v>
      </c>
      <c r="L116" s="561"/>
      <c r="M116" s="503"/>
      <c r="N116" s="503"/>
      <c r="O116" s="503"/>
      <c r="P116" s="503"/>
      <c r="Q116" s="503"/>
      <c r="S116" s="507" t="s">
        <v>164</v>
      </c>
      <c r="T116" s="487">
        <f>L114/I117</f>
        <v>0.30749448713613292</v>
      </c>
      <c r="U116" s="488">
        <f>M114/I117</f>
        <v>0.92504536983646202</v>
      </c>
      <c r="V116" s="489">
        <f>N114/J117</f>
        <v>0.38823385476806954</v>
      </c>
      <c r="W116" s="487">
        <f>O114/J117</f>
        <v>1.1679361575284752</v>
      </c>
      <c r="X116" s="487">
        <f>Q114/K117</f>
        <v>0.99078944754073162</v>
      </c>
      <c r="Y116" s="490">
        <f>$Q$114/K117</f>
        <v>0.99078944754073162</v>
      </c>
      <c r="AC116" s="114"/>
      <c r="AD116" s="114"/>
      <c r="AE116" s="114"/>
      <c r="AF116" s="114"/>
      <c r="AG116" s="114"/>
      <c r="AH116" s="114"/>
    </row>
    <row r="117" spans="2:34" ht="19.5" thickBot="1">
      <c r="B117" s="476"/>
      <c r="C117" s="644" t="s">
        <v>185</v>
      </c>
      <c r="D117" s="517">
        <f t="shared" si="17"/>
        <v>-129356769.51625311</v>
      </c>
      <c r="E117" s="517">
        <f t="shared" si="14"/>
        <v>-137198534.10172111</v>
      </c>
      <c r="F117" s="517">
        <f t="shared" si="15"/>
        <v>-137486297.16042179</v>
      </c>
      <c r="G117" s="474">
        <f t="shared" si="16"/>
        <v>-125263868.79464321</v>
      </c>
      <c r="H117" s="641" t="s">
        <v>164</v>
      </c>
      <c r="I117" s="565">
        <f>NPV(10%,E103:AC103)+D103</f>
        <v>212471252.8364951</v>
      </c>
      <c r="J117" s="500">
        <f>NPV(6%,E103:AC103)+D103</f>
        <v>256742282.72652215</v>
      </c>
      <c r="K117" s="501">
        <f>NPV(3%,E103:AC103)+D103</f>
        <v>302646133.24959379</v>
      </c>
      <c r="L117" s="562"/>
      <c r="M117" s="504"/>
      <c r="N117" s="504"/>
      <c r="O117" s="504"/>
      <c r="P117" s="504"/>
      <c r="Q117" s="504"/>
      <c r="S117" s="479"/>
      <c r="T117" s="481"/>
      <c r="U117" s="296"/>
      <c r="V117" s="480"/>
      <c r="W117" s="480"/>
      <c r="X117" s="112"/>
      <c r="AC117" s="114"/>
      <c r="AD117" s="114"/>
      <c r="AE117" s="114"/>
      <c r="AF117" s="114"/>
      <c r="AG117" s="114"/>
      <c r="AH117" s="114"/>
    </row>
    <row r="118" spans="2:34" ht="18.75">
      <c r="B118" s="476"/>
      <c r="C118" s="644" t="s">
        <v>186</v>
      </c>
      <c r="D118" s="517">
        <f t="shared" si="17"/>
        <v>1855040.2213692628</v>
      </c>
      <c r="E118" s="517">
        <f t="shared" si="14"/>
        <v>62984014.956111357</v>
      </c>
      <c r="F118" s="517">
        <f t="shared" si="15"/>
        <v>150265261.27850723</v>
      </c>
      <c r="G118" s="649">
        <f t="shared" si="16"/>
        <v>306724342.60421389</v>
      </c>
      <c r="S118" s="479"/>
      <c r="T118" s="481"/>
      <c r="U118" s="296"/>
      <c r="V118" s="480"/>
      <c r="W118" s="480"/>
      <c r="X118" s="112"/>
      <c r="AC118" s="114"/>
      <c r="AD118" s="114"/>
      <c r="AE118" s="114"/>
      <c r="AF118" s="114"/>
      <c r="AG118" s="114"/>
      <c r="AH118" s="114"/>
    </row>
    <row r="119" spans="2:34" ht="18.75">
      <c r="B119" s="476"/>
      <c r="C119" s="644" t="s">
        <v>187</v>
      </c>
      <c r="D119" s="517">
        <f t="shared" si="17"/>
        <v>-147137513.91436547</v>
      </c>
      <c r="E119" s="517">
        <f t="shared" si="14"/>
        <v>-157066236.62165093</v>
      </c>
      <c r="F119" s="517">
        <f t="shared" si="15"/>
        <v>-159367222.37199739</v>
      </c>
      <c r="G119" s="474">
        <f t="shared" si="16"/>
        <v>-149708592.4443171</v>
      </c>
      <c r="S119" s="479"/>
      <c r="T119" s="481"/>
      <c r="U119" s="296"/>
      <c r="V119" s="480"/>
      <c r="W119" s="480"/>
      <c r="X119" s="112"/>
      <c r="AC119" s="114"/>
      <c r="AD119" s="114"/>
      <c r="AE119" s="114"/>
      <c r="AF119" s="114"/>
      <c r="AG119" s="114"/>
      <c r="AH119" s="114"/>
    </row>
    <row r="120" spans="2:34" ht="19.5" thickBot="1">
      <c r="B120" s="636"/>
      <c r="C120" s="646" t="s">
        <v>188</v>
      </c>
      <c r="D120" s="602">
        <f t="shared" si="17"/>
        <v>-15925704.176743027</v>
      </c>
      <c r="E120" s="602">
        <f t="shared" si="14"/>
        <v>43116312.436181605</v>
      </c>
      <c r="F120" s="602">
        <f t="shared" si="15"/>
        <v>128384336.06693158</v>
      </c>
      <c r="G120" s="650">
        <f t="shared" si="16"/>
        <v>282279618.95454001</v>
      </c>
      <c r="K120" s="114"/>
      <c r="L120" s="114"/>
      <c r="M120" s="114"/>
      <c r="N120" s="479"/>
      <c r="O120" s="481"/>
      <c r="P120" s="296"/>
      <c r="Q120" s="480"/>
      <c r="R120" s="480"/>
      <c r="S120" s="114"/>
      <c r="X120" s="114"/>
      <c r="Y120" s="114"/>
      <c r="Z120" s="114"/>
      <c r="AA120" s="114"/>
      <c r="AB120" s="114"/>
      <c r="AC120" s="114"/>
    </row>
    <row r="121" spans="2:34" ht="15.75" thickBot="1">
      <c r="N121" s="104"/>
      <c r="O121" s="104"/>
      <c r="P121" s="104"/>
      <c r="Q121" s="104"/>
      <c r="R121" s="104"/>
      <c r="V121" s="104"/>
      <c r="W121" s="104"/>
      <c r="X121" s="104"/>
      <c r="Y121" s="104"/>
      <c r="Z121" s="104"/>
      <c r="AA121" s="104"/>
      <c r="AB121" s="104"/>
      <c r="AC121" s="104"/>
    </row>
    <row r="122" spans="2:34" ht="24" thickBot="1">
      <c r="B122" s="285" t="s">
        <v>247</v>
      </c>
      <c r="C122" s="286"/>
      <c r="D122" s="284"/>
      <c r="E122" s="284"/>
      <c r="F122" s="282"/>
      <c r="G122" s="282"/>
      <c r="H122" s="282"/>
      <c r="I122" s="282"/>
      <c r="J122" s="282"/>
      <c r="K122" s="282"/>
      <c r="L122" s="282"/>
      <c r="M122" s="282"/>
      <c r="N122" s="282"/>
      <c r="O122" s="282"/>
      <c r="P122" s="282"/>
      <c r="Q122" s="282"/>
      <c r="R122" s="282"/>
      <c r="S122" s="282"/>
      <c r="T122" s="282"/>
      <c r="U122" s="282"/>
      <c r="V122" s="282"/>
      <c r="W122" s="282"/>
      <c r="X122" s="282"/>
      <c r="Y122" s="282"/>
      <c r="Z122" s="282"/>
      <c r="AA122" s="282"/>
      <c r="AB122" s="282"/>
      <c r="AC122" s="282"/>
    </row>
    <row r="123" spans="2:34" ht="19.5" thickBot="1">
      <c r="B123" s="108"/>
      <c r="C123" s="98"/>
      <c r="D123" s="98">
        <v>2015</v>
      </c>
    </row>
    <row r="124" spans="2:34" ht="18.75">
      <c r="B124" s="110" t="s">
        <v>44</v>
      </c>
      <c r="C124" s="93"/>
      <c r="D124" s="93">
        <v>1</v>
      </c>
      <c r="E124" s="93">
        <v>2</v>
      </c>
      <c r="F124" s="93">
        <v>3</v>
      </c>
      <c r="G124" s="93">
        <v>4</v>
      </c>
      <c r="H124" s="93">
        <v>5</v>
      </c>
      <c r="I124" s="93">
        <v>6</v>
      </c>
      <c r="J124" s="93">
        <v>7</v>
      </c>
      <c r="K124" s="93">
        <v>8</v>
      </c>
      <c r="L124" s="93">
        <v>9</v>
      </c>
      <c r="M124" s="93">
        <v>10</v>
      </c>
      <c r="N124" s="93">
        <v>11</v>
      </c>
      <c r="O124" s="93">
        <v>12</v>
      </c>
      <c r="P124" s="93">
        <v>13</v>
      </c>
      <c r="Q124" s="93">
        <v>14</v>
      </c>
      <c r="R124" s="93">
        <v>15</v>
      </c>
      <c r="S124" s="93">
        <v>16</v>
      </c>
      <c r="T124" s="93">
        <v>17</v>
      </c>
      <c r="U124" s="93">
        <v>18</v>
      </c>
      <c r="V124" s="93">
        <v>19</v>
      </c>
      <c r="W124" s="93">
        <v>20</v>
      </c>
      <c r="X124" s="93">
        <v>21</v>
      </c>
      <c r="Y124" s="93">
        <v>22</v>
      </c>
      <c r="Z124" s="93">
        <v>23</v>
      </c>
      <c r="AA124" s="93">
        <v>24</v>
      </c>
      <c r="AB124" s="93">
        <v>25</v>
      </c>
      <c r="AC124" s="94">
        <v>26</v>
      </c>
    </row>
    <row r="125" spans="2:34" ht="15.75">
      <c r="B125" s="95" t="s">
        <v>248</v>
      </c>
      <c r="C125" s="96"/>
      <c r="D125" s="96"/>
      <c r="E125" s="96"/>
      <c r="F125" s="96"/>
      <c r="G125" s="96"/>
      <c r="H125" s="96"/>
      <c r="I125" s="96"/>
      <c r="J125" s="96"/>
      <c r="K125" s="96"/>
      <c r="L125" s="96"/>
      <c r="M125" s="105"/>
      <c r="N125" s="101"/>
      <c r="O125" s="101"/>
      <c r="P125" s="102"/>
      <c r="Q125" s="102"/>
      <c r="R125" s="102"/>
      <c r="S125" s="102"/>
      <c r="T125" s="102"/>
      <c r="U125" s="102"/>
      <c r="V125" s="102"/>
      <c r="W125" s="102"/>
      <c r="X125" s="102"/>
      <c r="Y125" s="102"/>
      <c r="Z125" s="102"/>
      <c r="AA125" s="102"/>
      <c r="AB125" s="102"/>
      <c r="AC125" s="103"/>
    </row>
    <row r="126" spans="2:34" ht="15.75">
      <c r="B126" s="100" t="s">
        <v>50</v>
      </c>
      <c r="C126" s="453" t="s">
        <v>156</v>
      </c>
      <c r="D126" s="106">
        <f t="shared" ref="D126:AC126" si="18">(D51-D53)*$C$42</f>
        <v>3171808.8777327524</v>
      </c>
      <c r="E126" s="106">
        <f t="shared" si="18"/>
        <v>6259917.9512196342</v>
      </c>
      <c r="F126" s="106">
        <f t="shared" si="18"/>
        <v>9355987.2607400212</v>
      </c>
      <c r="G126" s="106">
        <f t="shared" si="18"/>
        <v>12466957.074400049</v>
      </c>
      <c r="H126" s="106">
        <f t="shared" si="18"/>
        <v>15596537.914329857</v>
      </c>
      <c r="I126" s="106">
        <f t="shared" si="18"/>
        <v>18803420.197150405</v>
      </c>
      <c r="J126" s="106">
        <f t="shared" si="18"/>
        <v>21325090.834350552</v>
      </c>
      <c r="K126" s="106">
        <f t="shared" si="18"/>
        <v>23815153.519466624</v>
      </c>
      <c r="L126" s="106">
        <f t="shared" si="18"/>
        <v>26264832.533291735</v>
      </c>
      <c r="M126" s="106">
        <f t="shared" si="18"/>
        <v>28671989.022916351</v>
      </c>
      <c r="N126" s="106">
        <f t="shared" si="18"/>
        <v>30969609.871786669</v>
      </c>
      <c r="O126" s="106">
        <f t="shared" si="18"/>
        <v>32906477.023862138</v>
      </c>
      <c r="P126" s="106">
        <f t="shared" si="18"/>
        <v>34725972.402078263</v>
      </c>
      <c r="Q126" s="106">
        <f t="shared" si="18"/>
        <v>36459611.4695969</v>
      </c>
      <c r="R126" s="106">
        <f t="shared" si="18"/>
        <v>38043613.206746213</v>
      </c>
      <c r="S126" s="106">
        <f t="shared" si="18"/>
        <v>39495213.484504819</v>
      </c>
      <c r="T126" s="106">
        <f t="shared" si="18"/>
        <v>37844554.237876691</v>
      </c>
      <c r="U126" s="106">
        <f t="shared" si="18"/>
        <v>36059122.338017941</v>
      </c>
      <c r="V126" s="106">
        <f t="shared" si="18"/>
        <v>34148262.476823926</v>
      </c>
      <c r="W126" s="106">
        <f t="shared" si="18"/>
        <v>32151997.823102817</v>
      </c>
      <c r="X126" s="106">
        <f t="shared" si="18"/>
        <v>30042475.363208648</v>
      </c>
      <c r="Y126" s="106">
        <f t="shared" si="18"/>
        <v>27903907.464845423</v>
      </c>
      <c r="Z126" s="106">
        <f t="shared" si="18"/>
        <v>25693249.90494718</v>
      </c>
      <c r="AA126" s="106">
        <f t="shared" si="18"/>
        <v>23460997.754649471</v>
      </c>
      <c r="AB126" s="106">
        <f t="shared" si="18"/>
        <v>21292239.285507955</v>
      </c>
      <c r="AC126" s="124">
        <f t="shared" si="18"/>
        <v>19209612.288338948</v>
      </c>
    </row>
    <row r="127" spans="2:34" ht="15.75">
      <c r="B127" s="100"/>
      <c r="C127" s="453" t="s">
        <v>155</v>
      </c>
      <c r="D127" s="106">
        <f t="shared" ref="D127:AC127" si="19">(D51-D53)*$D$42</f>
        <v>9541852.7456523404</v>
      </c>
      <c r="E127" s="106">
        <f t="shared" si="19"/>
        <v>18831908.728718877</v>
      </c>
      <c r="F127" s="106">
        <f t="shared" si="19"/>
        <v>28145911.741061222</v>
      </c>
      <c r="G127" s="106">
        <f t="shared" si="19"/>
        <v>37504740.410250224</v>
      </c>
      <c r="H127" s="106">
        <f t="shared" si="19"/>
        <v>46919557.217109948</v>
      </c>
      <c r="I127" s="106">
        <f t="shared" si="19"/>
        <v>56566922.394165665</v>
      </c>
      <c r="J127" s="106">
        <f t="shared" si="19"/>
        <v>64152943.753182247</v>
      </c>
      <c r="K127" s="106">
        <f t="shared" si="19"/>
        <v>71643877.912432432</v>
      </c>
      <c r="L127" s="106">
        <f t="shared" si="19"/>
        <v>79013324.598874152</v>
      </c>
      <c r="M127" s="106">
        <f t="shared" si="19"/>
        <v>86254849.433799818</v>
      </c>
      <c r="N127" s="106">
        <f t="shared" si="19"/>
        <v>93166854.74382107</v>
      </c>
      <c r="O127" s="106">
        <f t="shared" si="19"/>
        <v>98993593.32278797</v>
      </c>
      <c r="P127" s="106">
        <f t="shared" si="19"/>
        <v>104467238.69033085</v>
      </c>
      <c r="Q127" s="106">
        <f t="shared" si="19"/>
        <v>109682599.80887258</v>
      </c>
      <c r="R127" s="106">
        <f t="shared" si="19"/>
        <v>114447802.22407615</v>
      </c>
      <c r="S127" s="106">
        <f t="shared" si="19"/>
        <v>118814697.15055153</v>
      </c>
      <c r="T127" s="106">
        <f t="shared" si="19"/>
        <v>113848966.84594579</v>
      </c>
      <c r="U127" s="106">
        <f t="shared" si="19"/>
        <v>108477795.71535097</v>
      </c>
      <c r="V127" s="106">
        <f t="shared" si="19"/>
        <v>102729295.69030398</v>
      </c>
      <c r="W127" s="106">
        <f t="shared" si="19"/>
        <v>96723869.732617259</v>
      </c>
      <c r="X127" s="106">
        <f t="shared" si="19"/>
        <v>90377726.742329419</v>
      </c>
      <c r="Y127" s="106">
        <f t="shared" si="19"/>
        <v>83944205.442853302</v>
      </c>
      <c r="Z127" s="106">
        <f t="shared" si="19"/>
        <v>77293814.539511666</v>
      </c>
      <c r="AA127" s="106">
        <f t="shared" si="19"/>
        <v>70578459.948369995</v>
      </c>
      <c r="AB127" s="106">
        <f t="shared" si="19"/>
        <v>64054115.402040638</v>
      </c>
      <c r="AC127" s="124">
        <f t="shared" si="19"/>
        <v>57788882.881059855</v>
      </c>
    </row>
    <row r="128" spans="2:34" ht="15.75">
      <c r="B128" s="97" t="s">
        <v>45</v>
      </c>
      <c r="C128" s="448" t="s">
        <v>161</v>
      </c>
      <c r="D128" s="109">
        <f t="shared" ref="D128:AC128" si="20">D50*D79</f>
        <v>78509311.006142974</v>
      </c>
      <c r="E128" s="109">
        <f t="shared" si="20"/>
        <v>75987919.659970507</v>
      </c>
      <c r="F128" s="109">
        <f t="shared" si="20"/>
        <v>75629026.247389197</v>
      </c>
      <c r="G128" s="109">
        <f t="shared" si="20"/>
        <v>75484135.604440898</v>
      </c>
      <c r="H128" s="109">
        <f t="shared" si="20"/>
        <v>76090803.542847753</v>
      </c>
      <c r="I128" s="109">
        <f t="shared" si="20"/>
        <v>77338851.371471748</v>
      </c>
      <c r="J128" s="109">
        <f t="shared" si="20"/>
        <v>58428754.696776889</v>
      </c>
      <c r="K128" s="109">
        <f t="shared" si="20"/>
        <v>58791203.471794635</v>
      </c>
      <c r="L128" s="109">
        <f t="shared" si="20"/>
        <v>59247276.102367587</v>
      </c>
      <c r="M128" s="109">
        <f t="shared" si="20"/>
        <v>61483725.149828441</v>
      </c>
      <c r="N128" s="109">
        <f t="shared" si="20"/>
        <v>59970209.764900342</v>
      </c>
      <c r="O128" s="109">
        <f t="shared" si="20"/>
        <v>53342000.803607039</v>
      </c>
      <c r="P128" s="109">
        <f t="shared" si="20"/>
        <v>53078425.260858484</v>
      </c>
      <c r="Q128" s="109">
        <f t="shared" si="20"/>
        <v>52965618.713960931</v>
      </c>
      <c r="R128" s="109">
        <f t="shared" si="20"/>
        <v>52789666.634082012</v>
      </c>
      <c r="S128" s="109">
        <f t="shared" si="20"/>
        <v>51948842.28753569</v>
      </c>
      <c r="T128" s="109">
        <f t="shared" si="20"/>
        <v>0</v>
      </c>
      <c r="U128" s="109">
        <f t="shared" si="20"/>
        <v>0</v>
      </c>
      <c r="V128" s="109">
        <f t="shared" si="20"/>
        <v>0</v>
      </c>
      <c r="W128" s="109">
        <f t="shared" si="20"/>
        <v>0</v>
      </c>
      <c r="X128" s="109">
        <f t="shared" si="20"/>
        <v>0</v>
      </c>
      <c r="Y128" s="109">
        <f t="shared" si="20"/>
        <v>0</v>
      </c>
      <c r="Z128" s="109">
        <f t="shared" si="20"/>
        <v>0</v>
      </c>
      <c r="AA128" s="109">
        <f t="shared" si="20"/>
        <v>0</v>
      </c>
      <c r="AB128" s="109">
        <f t="shared" si="20"/>
        <v>0</v>
      </c>
      <c r="AC128" s="140">
        <f t="shared" si="20"/>
        <v>0</v>
      </c>
    </row>
    <row r="129" spans="2:29" ht="15.75">
      <c r="B129" s="97"/>
      <c r="C129" s="448" t="s">
        <v>162</v>
      </c>
      <c r="D129" s="109">
        <f t="shared" ref="D129:AC129" si="21">D50*D80</f>
        <v>89724926.864163384</v>
      </c>
      <c r="E129" s="109">
        <f t="shared" si="21"/>
        <v>86843336.754252002</v>
      </c>
      <c r="F129" s="109">
        <f t="shared" si="21"/>
        <v>86433172.854159072</v>
      </c>
      <c r="G129" s="109">
        <f t="shared" si="21"/>
        <v>86267583.547932431</v>
      </c>
      <c r="H129" s="109">
        <f t="shared" si="21"/>
        <v>86960918.33468312</v>
      </c>
      <c r="I129" s="109">
        <f t="shared" si="21"/>
        <v>79613523.470632687</v>
      </c>
      <c r="J129" s="109">
        <f t="shared" si="21"/>
        <v>60147247.481976211</v>
      </c>
      <c r="K129" s="109">
        <f t="shared" si="21"/>
        <v>60520356.515082717</v>
      </c>
      <c r="L129" s="109">
        <f t="shared" si="21"/>
        <v>60989843.046554871</v>
      </c>
      <c r="M129" s="109">
        <f t="shared" si="21"/>
        <v>63292070.00717634</v>
      </c>
      <c r="N129" s="109">
        <f t="shared" si="21"/>
        <v>61734039.463868007</v>
      </c>
      <c r="O129" s="109">
        <f t="shared" si="21"/>
        <v>54910883.180183716</v>
      </c>
      <c r="P129" s="109">
        <f t="shared" si="21"/>
        <v>54639555.415589616</v>
      </c>
      <c r="Q129" s="109">
        <f t="shared" si="21"/>
        <v>54523431.029077433</v>
      </c>
      <c r="R129" s="109">
        <f t="shared" si="21"/>
        <v>54342303.888025604</v>
      </c>
      <c r="S129" s="109">
        <f t="shared" si="21"/>
        <v>53476749.41363968</v>
      </c>
      <c r="T129" s="109">
        <f t="shared" si="21"/>
        <v>0</v>
      </c>
      <c r="U129" s="109">
        <f t="shared" si="21"/>
        <v>0</v>
      </c>
      <c r="V129" s="109">
        <f t="shared" si="21"/>
        <v>0</v>
      </c>
      <c r="W129" s="109">
        <f t="shared" si="21"/>
        <v>0</v>
      </c>
      <c r="X129" s="109">
        <f t="shared" si="21"/>
        <v>0</v>
      </c>
      <c r="Y129" s="109">
        <f t="shared" si="21"/>
        <v>0</v>
      </c>
      <c r="Z129" s="109">
        <f t="shared" si="21"/>
        <v>0</v>
      </c>
      <c r="AA129" s="109">
        <f t="shared" si="21"/>
        <v>0</v>
      </c>
      <c r="AB129" s="109">
        <f t="shared" si="21"/>
        <v>0</v>
      </c>
      <c r="AC129" s="140">
        <f t="shared" si="21"/>
        <v>0</v>
      </c>
    </row>
    <row r="130" spans="2:29" ht="15.75">
      <c r="B130" s="97"/>
      <c r="C130" s="448" t="s">
        <v>163</v>
      </c>
      <c r="D130" s="109">
        <f t="shared" ref="D130:AC130" si="22">D50*D82</f>
        <v>130848851.67690495</v>
      </c>
      <c r="E130" s="109">
        <f t="shared" si="22"/>
        <v>126646532.76661751</v>
      </c>
      <c r="F130" s="109">
        <f t="shared" si="22"/>
        <v>126048377.07898198</v>
      </c>
      <c r="G130" s="109">
        <f t="shared" si="22"/>
        <v>125806892.67406814</v>
      </c>
      <c r="H130" s="109">
        <f t="shared" si="22"/>
        <v>126818005.90474623</v>
      </c>
      <c r="I130" s="109">
        <f t="shared" si="22"/>
        <v>128898085.61911955</v>
      </c>
      <c r="J130" s="109">
        <f t="shared" si="22"/>
        <v>97381257.827961475</v>
      </c>
      <c r="K130" s="109">
        <f t="shared" si="22"/>
        <v>97985339.11965771</v>
      </c>
      <c r="L130" s="109">
        <f t="shared" si="22"/>
        <v>98745460.170612633</v>
      </c>
      <c r="M130" s="109">
        <f t="shared" si="22"/>
        <v>102472875.24971406</v>
      </c>
      <c r="N130" s="109">
        <f t="shared" si="22"/>
        <v>99950349.608167231</v>
      </c>
      <c r="O130" s="109">
        <f t="shared" si="22"/>
        <v>88903334.672678381</v>
      </c>
      <c r="P130" s="109">
        <f t="shared" si="22"/>
        <v>88464042.101430789</v>
      </c>
      <c r="Q130" s="109">
        <f t="shared" si="22"/>
        <v>88276031.18993488</v>
      </c>
      <c r="R130" s="109">
        <f t="shared" si="22"/>
        <v>87982777.723470017</v>
      </c>
      <c r="S130" s="109">
        <f t="shared" si="22"/>
        <v>86581403.812559471</v>
      </c>
      <c r="T130" s="109">
        <f t="shared" si="22"/>
        <v>0</v>
      </c>
      <c r="U130" s="109">
        <f t="shared" si="22"/>
        <v>0</v>
      </c>
      <c r="V130" s="109">
        <f t="shared" si="22"/>
        <v>0</v>
      </c>
      <c r="W130" s="109">
        <f t="shared" si="22"/>
        <v>0</v>
      </c>
      <c r="X130" s="109">
        <f t="shared" si="22"/>
        <v>0</v>
      </c>
      <c r="Y130" s="109">
        <f t="shared" si="22"/>
        <v>0</v>
      </c>
      <c r="Z130" s="109">
        <f t="shared" si="22"/>
        <v>0</v>
      </c>
      <c r="AA130" s="109">
        <f t="shared" si="22"/>
        <v>0</v>
      </c>
      <c r="AB130" s="109">
        <f t="shared" si="22"/>
        <v>0</v>
      </c>
      <c r="AC130" s="140">
        <f t="shared" si="22"/>
        <v>0</v>
      </c>
    </row>
    <row r="131" spans="2:29" ht="15.75">
      <c r="B131" s="97"/>
      <c r="C131" s="448" t="s">
        <v>164</v>
      </c>
      <c r="D131" s="109">
        <f t="shared" ref="D131:AC131" si="23">D50*D83</f>
        <v>149541544.77360564</v>
      </c>
      <c r="E131" s="109">
        <f t="shared" si="23"/>
        <v>144738894.59042001</v>
      </c>
      <c r="F131" s="109">
        <f t="shared" si="23"/>
        <v>144055288.09026513</v>
      </c>
      <c r="G131" s="109">
        <f t="shared" si="23"/>
        <v>143779305.91322073</v>
      </c>
      <c r="H131" s="109">
        <f t="shared" si="23"/>
        <v>144934863.89113855</v>
      </c>
      <c r="I131" s="109">
        <f t="shared" si="23"/>
        <v>132689205.7843878</v>
      </c>
      <c r="J131" s="109">
        <f t="shared" si="23"/>
        <v>100245412.46996035</v>
      </c>
      <c r="K131" s="109">
        <f t="shared" si="23"/>
        <v>100867260.85847118</v>
      </c>
      <c r="L131" s="109">
        <f t="shared" si="23"/>
        <v>101649738.41092478</v>
      </c>
      <c r="M131" s="109">
        <f t="shared" si="23"/>
        <v>105486783.34529388</v>
      </c>
      <c r="N131" s="109">
        <f t="shared" si="23"/>
        <v>102890065.77311334</v>
      </c>
      <c r="O131" s="109">
        <f t="shared" si="23"/>
        <v>91518138.633639514</v>
      </c>
      <c r="P131" s="109">
        <f t="shared" si="23"/>
        <v>91065925.69264935</v>
      </c>
      <c r="Q131" s="109">
        <f t="shared" si="23"/>
        <v>90872385.048462376</v>
      </c>
      <c r="R131" s="109">
        <f t="shared" si="23"/>
        <v>90570506.480042666</v>
      </c>
      <c r="S131" s="109">
        <f t="shared" si="23"/>
        <v>89127915.689399466</v>
      </c>
      <c r="T131" s="109">
        <f t="shared" si="23"/>
        <v>0</v>
      </c>
      <c r="U131" s="109">
        <f t="shared" si="23"/>
        <v>0</v>
      </c>
      <c r="V131" s="109">
        <f t="shared" si="23"/>
        <v>0</v>
      </c>
      <c r="W131" s="109">
        <f t="shared" si="23"/>
        <v>0</v>
      </c>
      <c r="X131" s="109">
        <f t="shared" si="23"/>
        <v>0</v>
      </c>
      <c r="Y131" s="109">
        <f t="shared" si="23"/>
        <v>0</v>
      </c>
      <c r="Z131" s="109">
        <f t="shared" si="23"/>
        <v>0</v>
      </c>
      <c r="AA131" s="109">
        <f t="shared" si="23"/>
        <v>0</v>
      </c>
      <c r="AB131" s="109">
        <f t="shared" si="23"/>
        <v>0</v>
      </c>
      <c r="AC131" s="140">
        <f t="shared" si="23"/>
        <v>0</v>
      </c>
    </row>
    <row r="132" spans="2:29" ht="15.75">
      <c r="B132" s="450" t="s">
        <v>46</v>
      </c>
      <c r="C132" s="449" t="s">
        <v>170</v>
      </c>
      <c r="D132" s="107">
        <f>D126-D128</f>
        <v>-75337502.12841022</v>
      </c>
      <c r="E132" s="107">
        <f t="shared" ref="E132:AC132" si="24">E126-E128</f>
        <v>-69728001.708750874</v>
      </c>
      <c r="F132" s="107">
        <f t="shared" si="24"/>
        <v>-66273038.986649178</v>
      </c>
      <c r="G132" s="107">
        <f t="shared" si="24"/>
        <v>-63017178.530040845</v>
      </c>
      <c r="H132" s="107">
        <f t="shared" si="24"/>
        <v>-60494265.628517896</v>
      </c>
      <c r="I132" s="107">
        <f t="shared" si="24"/>
        <v>-58535431.174321339</v>
      </c>
      <c r="J132" s="107">
        <f t="shared" si="24"/>
        <v>-37103663.862426341</v>
      </c>
      <c r="K132" s="107">
        <f t="shared" si="24"/>
        <v>-34976049.952328011</v>
      </c>
      <c r="L132" s="107">
        <f t="shared" si="24"/>
        <v>-32982443.569075853</v>
      </c>
      <c r="M132" s="107">
        <f t="shared" si="24"/>
        <v>-32811736.126912091</v>
      </c>
      <c r="N132" s="107">
        <f t="shared" si="24"/>
        <v>-29000599.893113673</v>
      </c>
      <c r="O132" s="107">
        <f t="shared" si="24"/>
        <v>-20435523.779744901</v>
      </c>
      <c r="P132" s="107">
        <f t="shared" si="24"/>
        <v>-18352452.85878022</v>
      </c>
      <c r="Q132" s="107">
        <f t="shared" si="24"/>
        <v>-16506007.244364031</v>
      </c>
      <c r="R132" s="107">
        <f t="shared" si="24"/>
        <v>-14746053.427335799</v>
      </c>
      <c r="S132" s="107">
        <f t="shared" si="24"/>
        <v>-12453628.803030871</v>
      </c>
      <c r="T132" s="107">
        <f t="shared" si="24"/>
        <v>37844554.237876691</v>
      </c>
      <c r="U132" s="107">
        <f t="shared" si="24"/>
        <v>36059122.338017941</v>
      </c>
      <c r="V132" s="107">
        <f t="shared" si="24"/>
        <v>34148262.476823926</v>
      </c>
      <c r="W132" s="107">
        <f t="shared" si="24"/>
        <v>32151997.823102817</v>
      </c>
      <c r="X132" s="107">
        <f t="shared" si="24"/>
        <v>30042475.363208648</v>
      </c>
      <c r="Y132" s="107">
        <f t="shared" si="24"/>
        <v>27903907.464845423</v>
      </c>
      <c r="Z132" s="107">
        <f t="shared" si="24"/>
        <v>25693249.90494718</v>
      </c>
      <c r="AA132" s="107">
        <f t="shared" si="24"/>
        <v>23460997.754649471</v>
      </c>
      <c r="AB132" s="107">
        <f t="shared" si="24"/>
        <v>21292239.285507955</v>
      </c>
      <c r="AC132" s="121">
        <f t="shared" si="24"/>
        <v>19209612.288338948</v>
      </c>
    </row>
    <row r="133" spans="2:29" ht="15.75">
      <c r="B133" s="182"/>
      <c r="C133" s="449" t="s">
        <v>171</v>
      </c>
      <c r="D133" s="107">
        <f>D127-D128</f>
        <v>-68967458.260490626</v>
      </c>
      <c r="E133" s="107">
        <f t="shared" ref="E133:AC133" si="25">E127-E128</f>
        <v>-57156010.93125163</v>
      </c>
      <c r="F133" s="107">
        <f t="shared" si="25"/>
        <v>-47483114.506327972</v>
      </c>
      <c r="G133" s="107">
        <f t="shared" si="25"/>
        <v>-37979395.194190674</v>
      </c>
      <c r="H133" s="107">
        <f t="shared" si="25"/>
        <v>-29171246.325737804</v>
      </c>
      <c r="I133" s="107">
        <f t="shared" si="25"/>
        <v>-20771928.977306083</v>
      </c>
      <c r="J133" s="107">
        <f t="shared" si="25"/>
        <v>5724189.056405358</v>
      </c>
      <c r="K133" s="107">
        <f t="shared" si="25"/>
        <v>12852674.440637797</v>
      </c>
      <c r="L133" s="107">
        <f t="shared" si="25"/>
        <v>19766048.496506564</v>
      </c>
      <c r="M133" s="107">
        <f t="shared" si="25"/>
        <v>24771124.283971377</v>
      </c>
      <c r="N133" s="107">
        <f t="shared" si="25"/>
        <v>33196644.978920728</v>
      </c>
      <c r="O133" s="107">
        <f t="shared" si="25"/>
        <v>45651592.519180931</v>
      </c>
      <c r="P133" s="107">
        <f t="shared" si="25"/>
        <v>51388813.429472364</v>
      </c>
      <c r="Q133" s="107">
        <f t="shared" si="25"/>
        <v>56716981.09491165</v>
      </c>
      <c r="R133" s="107">
        <f t="shared" si="25"/>
        <v>61658135.58999414</v>
      </c>
      <c r="S133" s="107">
        <f t="shared" si="25"/>
        <v>66865854.863015838</v>
      </c>
      <c r="T133" s="107">
        <f t="shared" si="25"/>
        <v>113848966.84594579</v>
      </c>
      <c r="U133" s="107">
        <f t="shared" si="25"/>
        <v>108477795.71535097</v>
      </c>
      <c r="V133" s="107">
        <f t="shared" si="25"/>
        <v>102729295.69030398</v>
      </c>
      <c r="W133" s="107">
        <f t="shared" si="25"/>
        <v>96723869.732617259</v>
      </c>
      <c r="X133" s="107">
        <f t="shared" si="25"/>
        <v>90377726.742329419</v>
      </c>
      <c r="Y133" s="107">
        <f t="shared" si="25"/>
        <v>83944205.442853302</v>
      </c>
      <c r="Z133" s="107">
        <f t="shared" si="25"/>
        <v>77293814.539511666</v>
      </c>
      <c r="AA133" s="107">
        <f t="shared" si="25"/>
        <v>70578459.948369995</v>
      </c>
      <c r="AB133" s="107">
        <f t="shared" si="25"/>
        <v>64054115.402040638</v>
      </c>
      <c r="AC133" s="121">
        <f t="shared" si="25"/>
        <v>57788882.881059855</v>
      </c>
    </row>
    <row r="134" spans="2:29" ht="15.75">
      <c r="B134" s="182"/>
      <c r="C134" s="449" t="s">
        <v>172</v>
      </c>
      <c r="D134" s="107">
        <f>D126-D129</f>
        <v>-86553117.98643063</v>
      </c>
      <c r="E134" s="107">
        <f t="shared" ref="E134:AC134" si="26">E126-E129</f>
        <v>-80583418.803032368</v>
      </c>
      <c r="F134" s="107">
        <f t="shared" si="26"/>
        <v>-77077185.593419045</v>
      </c>
      <c r="G134" s="107">
        <f t="shared" si="26"/>
        <v>-73800626.473532379</v>
      </c>
      <c r="H134" s="107">
        <f t="shared" si="26"/>
        <v>-71364380.420353264</v>
      </c>
      <c r="I134" s="107">
        <f t="shared" si="26"/>
        <v>-60810103.273482278</v>
      </c>
      <c r="J134" s="107">
        <f t="shared" si="26"/>
        <v>-38822156.647625655</v>
      </c>
      <c r="K134" s="107">
        <f t="shared" si="26"/>
        <v>-36705202.995616093</v>
      </c>
      <c r="L134" s="107">
        <f t="shared" si="26"/>
        <v>-34725010.513263136</v>
      </c>
      <c r="M134" s="107">
        <f t="shared" si="26"/>
        <v>-34620080.984259993</v>
      </c>
      <c r="N134" s="107">
        <f t="shared" si="26"/>
        <v>-30764429.592081338</v>
      </c>
      <c r="O134" s="107">
        <f t="shared" si="26"/>
        <v>-22004406.156321578</v>
      </c>
      <c r="P134" s="107">
        <f t="shared" si="26"/>
        <v>-19913583.013511352</v>
      </c>
      <c r="Q134" s="107">
        <f t="shared" si="26"/>
        <v>-18063819.559480533</v>
      </c>
      <c r="R134" s="107">
        <f t="shared" si="26"/>
        <v>-16298690.681279391</v>
      </c>
      <c r="S134" s="107">
        <f t="shared" si="26"/>
        <v>-13981535.929134861</v>
      </c>
      <c r="T134" s="107">
        <f t="shared" si="26"/>
        <v>37844554.237876691</v>
      </c>
      <c r="U134" s="107">
        <f t="shared" si="26"/>
        <v>36059122.338017941</v>
      </c>
      <c r="V134" s="107">
        <f t="shared" si="26"/>
        <v>34148262.476823926</v>
      </c>
      <c r="W134" s="107">
        <f t="shared" si="26"/>
        <v>32151997.823102817</v>
      </c>
      <c r="X134" s="107">
        <f t="shared" si="26"/>
        <v>30042475.363208648</v>
      </c>
      <c r="Y134" s="107">
        <f t="shared" si="26"/>
        <v>27903907.464845423</v>
      </c>
      <c r="Z134" s="107">
        <f t="shared" si="26"/>
        <v>25693249.90494718</v>
      </c>
      <c r="AA134" s="107">
        <f t="shared" si="26"/>
        <v>23460997.754649471</v>
      </c>
      <c r="AB134" s="107">
        <f t="shared" si="26"/>
        <v>21292239.285507955</v>
      </c>
      <c r="AC134" s="121">
        <f t="shared" si="26"/>
        <v>19209612.288338948</v>
      </c>
    </row>
    <row r="135" spans="2:29" ht="15.75">
      <c r="B135" s="182"/>
      <c r="C135" s="449" t="s">
        <v>169</v>
      </c>
      <c r="D135" s="107">
        <f>D127-D129</f>
        <v>-80183074.118511051</v>
      </c>
      <c r="E135" s="107">
        <f t="shared" ref="E135:AC135" si="27">E127-E129</f>
        <v>-68011428.025533125</v>
      </c>
      <c r="F135" s="107">
        <f t="shared" si="27"/>
        <v>-58287261.113097847</v>
      </c>
      <c r="G135" s="107">
        <f t="shared" si="27"/>
        <v>-48762843.137682207</v>
      </c>
      <c r="H135" s="107">
        <f t="shared" si="27"/>
        <v>-40041361.117573172</v>
      </c>
      <c r="I135" s="107">
        <f t="shared" si="27"/>
        <v>-23046601.076467022</v>
      </c>
      <c r="J135" s="107">
        <f t="shared" si="27"/>
        <v>4005696.2712060362</v>
      </c>
      <c r="K135" s="107">
        <f t="shared" si="27"/>
        <v>11123521.397349715</v>
      </c>
      <c r="L135" s="107">
        <f t="shared" si="27"/>
        <v>18023481.552319281</v>
      </c>
      <c r="M135" s="107">
        <f t="shared" si="27"/>
        <v>22962779.426623479</v>
      </c>
      <c r="N135" s="107">
        <f t="shared" si="27"/>
        <v>31432815.279953063</v>
      </c>
      <c r="O135" s="107">
        <f t="shared" si="27"/>
        <v>44082710.142604254</v>
      </c>
      <c r="P135" s="107">
        <f t="shared" si="27"/>
        <v>49827683.274741232</v>
      </c>
      <c r="Q135" s="107">
        <f t="shared" si="27"/>
        <v>55159168.779795147</v>
      </c>
      <c r="R135" s="107">
        <f t="shared" si="27"/>
        <v>60105498.336050548</v>
      </c>
      <c r="S135" s="107">
        <f t="shared" si="27"/>
        <v>65337947.736911848</v>
      </c>
      <c r="T135" s="107">
        <f t="shared" si="27"/>
        <v>113848966.84594579</v>
      </c>
      <c r="U135" s="107">
        <f t="shared" si="27"/>
        <v>108477795.71535097</v>
      </c>
      <c r="V135" s="107">
        <f t="shared" si="27"/>
        <v>102729295.69030398</v>
      </c>
      <c r="W135" s="107">
        <f t="shared" si="27"/>
        <v>96723869.732617259</v>
      </c>
      <c r="X135" s="107">
        <f t="shared" si="27"/>
        <v>90377726.742329419</v>
      </c>
      <c r="Y135" s="107">
        <f t="shared" si="27"/>
        <v>83944205.442853302</v>
      </c>
      <c r="Z135" s="107">
        <f t="shared" si="27"/>
        <v>77293814.539511666</v>
      </c>
      <c r="AA135" s="107">
        <f t="shared" si="27"/>
        <v>70578459.948369995</v>
      </c>
      <c r="AB135" s="107">
        <f t="shared" si="27"/>
        <v>64054115.402040638</v>
      </c>
      <c r="AC135" s="121">
        <f t="shared" si="27"/>
        <v>57788882.881059855</v>
      </c>
    </row>
    <row r="136" spans="2:29" ht="15.75">
      <c r="B136" s="182"/>
      <c r="C136" s="449" t="s">
        <v>174</v>
      </c>
      <c r="D136" s="107">
        <f>D126-D130</f>
        <v>-127677042.79917219</v>
      </c>
      <c r="E136" s="107">
        <f t="shared" ref="E136:AC136" si="28">E126-E130</f>
        <v>-120386614.81539787</v>
      </c>
      <c r="F136" s="107">
        <f t="shared" si="28"/>
        <v>-116692389.81824195</v>
      </c>
      <c r="G136" s="107">
        <f t="shared" si="28"/>
        <v>-113339935.59966809</v>
      </c>
      <c r="H136" s="107">
        <f t="shared" si="28"/>
        <v>-111221467.99041638</v>
      </c>
      <c r="I136" s="107">
        <f t="shared" si="28"/>
        <v>-110094665.42196915</v>
      </c>
      <c r="J136" s="107">
        <f t="shared" si="28"/>
        <v>-76056166.993610919</v>
      </c>
      <c r="K136" s="107">
        <f t="shared" si="28"/>
        <v>-74170185.600191087</v>
      </c>
      <c r="L136" s="107">
        <f t="shared" si="28"/>
        <v>-72480627.637320906</v>
      </c>
      <c r="M136" s="107">
        <f t="shared" si="28"/>
        <v>-73800886.226797715</v>
      </c>
      <c r="N136" s="107">
        <f t="shared" si="28"/>
        <v>-68980739.736380562</v>
      </c>
      <c r="O136" s="107">
        <f t="shared" si="28"/>
        <v>-55996857.648816243</v>
      </c>
      <c r="P136" s="107">
        <f t="shared" si="28"/>
        <v>-53738069.699352525</v>
      </c>
      <c r="Q136" s="107">
        <f t="shared" si="28"/>
        <v>-51816419.720337979</v>
      </c>
      <c r="R136" s="107">
        <f t="shared" si="28"/>
        <v>-49939164.516723804</v>
      </c>
      <c r="S136" s="107">
        <f t="shared" si="28"/>
        <v>-47086190.328054652</v>
      </c>
      <c r="T136" s="107">
        <f t="shared" si="28"/>
        <v>37844554.237876691</v>
      </c>
      <c r="U136" s="107">
        <f t="shared" si="28"/>
        <v>36059122.338017941</v>
      </c>
      <c r="V136" s="107">
        <f t="shared" si="28"/>
        <v>34148262.476823926</v>
      </c>
      <c r="W136" s="107">
        <f t="shared" si="28"/>
        <v>32151997.823102817</v>
      </c>
      <c r="X136" s="107">
        <f t="shared" si="28"/>
        <v>30042475.363208648</v>
      </c>
      <c r="Y136" s="107">
        <f t="shared" si="28"/>
        <v>27903907.464845423</v>
      </c>
      <c r="Z136" s="107">
        <f t="shared" si="28"/>
        <v>25693249.90494718</v>
      </c>
      <c r="AA136" s="107">
        <f t="shared" si="28"/>
        <v>23460997.754649471</v>
      </c>
      <c r="AB136" s="107">
        <f t="shared" si="28"/>
        <v>21292239.285507955</v>
      </c>
      <c r="AC136" s="121">
        <f t="shared" si="28"/>
        <v>19209612.288338948</v>
      </c>
    </row>
    <row r="137" spans="2:29" ht="15.75">
      <c r="B137" s="182"/>
      <c r="C137" s="449" t="s">
        <v>173</v>
      </c>
      <c r="D137" s="107">
        <f>D127-D130</f>
        <v>-121306998.9312526</v>
      </c>
      <c r="E137" s="107">
        <f t="shared" ref="E137:AC137" si="29">E127-E130</f>
        <v>-107814624.03789863</v>
      </c>
      <c r="F137" s="107">
        <f t="shared" si="29"/>
        <v>-97902465.337920755</v>
      </c>
      <c r="G137" s="107">
        <f t="shared" si="29"/>
        <v>-88302152.263817906</v>
      </c>
      <c r="H137" s="107">
        <f t="shared" si="29"/>
        <v>-79898448.687636286</v>
      </c>
      <c r="I137" s="107">
        <f t="shared" si="29"/>
        <v>-72331163.22495389</v>
      </c>
      <c r="J137" s="107">
        <f t="shared" si="29"/>
        <v>-33228314.074779227</v>
      </c>
      <c r="K137" s="107">
        <f t="shared" si="29"/>
        <v>-26341461.207225278</v>
      </c>
      <c r="L137" s="107">
        <f t="shared" si="29"/>
        <v>-19732135.571738482</v>
      </c>
      <c r="M137" s="107">
        <f t="shared" si="29"/>
        <v>-16218025.815914243</v>
      </c>
      <c r="N137" s="107">
        <f t="shared" si="29"/>
        <v>-6783494.8643461615</v>
      </c>
      <c r="O137" s="107">
        <f t="shared" si="29"/>
        <v>10090258.650109589</v>
      </c>
      <c r="P137" s="107">
        <f t="shared" si="29"/>
        <v>16003196.588900059</v>
      </c>
      <c r="Q137" s="107">
        <f t="shared" si="29"/>
        <v>21406568.618937701</v>
      </c>
      <c r="R137" s="107">
        <f t="shared" si="29"/>
        <v>26465024.500606135</v>
      </c>
      <c r="S137" s="107">
        <f t="shared" si="29"/>
        <v>32233293.337992057</v>
      </c>
      <c r="T137" s="107">
        <f t="shared" si="29"/>
        <v>113848966.84594579</v>
      </c>
      <c r="U137" s="107">
        <f t="shared" si="29"/>
        <v>108477795.71535097</v>
      </c>
      <c r="V137" s="107">
        <f t="shared" si="29"/>
        <v>102729295.69030398</v>
      </c>
      <c r="W137" s="107">
        <f t="shared" si="29"/>
        <v>96723869.732617259</v>
      </c>
      <c r="X137" s="107">
        <f t="shared" si="29"/>
        <v>90377726.742329419</v>
      </c>
      <c r="Y137" s="107">
        <f t="shared" si="29"/>
        <v>83944205.442853302</v>
      </c>
      <c r="Z137" s="107">
        <f t="shared" si="29"/>
        <v>77293814.539511666</v>
      </c>
      <c r="AA137" s="107">
        <f t="shared" si="29"/>
        <v>70578459.948369995</v>
      </c>
      <c r="AB137" s="107">
        <f t="shared" si="29"/>
        <v>64054115.402040638</v>
      </c>
      <c r="AC137" s="121">
        <f t="shared" si="29"/>
        <v>57788882.881059855</v>
      </c>
    </row>
    <row r="138" spans="2:29" ht="15.75">
      <c r="B138" s="182"/>
      <c r="C138" s="449" t="s">
        <v>175</v>
      </c>
      <c r="D138" s="107">
        <f>D126-D131</f>
        <v>-146369735.89587289</v>
      </c>
      <c r="E138" s="107">
        <f t="shared" ref="E138:AC138" si="30">E126-E131</f>
        <v>-138478976.63920036</v>
      </c>
      <c r="F138" s="107">
        <f t="shared" si="30"/>
        <v>-134699300.82952511</v>
      </c>
      <c r="G138" s="107">
        <f t="shared" si="30"/>
        <v>-131312348.83882068</v>
      </c>
      <c r="H138" s="107">
        <f t="shared" si="30"/>
        <v>-129338325.9768087</v>
      </c>
      <c r="I138" s="107">
        <f t="shared" si="30"/>
        <v>-113885785.58723739</v>
      </c>
      <c r="J138" s="107">
        <f t="shared" si="30"/>
        <v>-78920321.635609791</v>
      </c>
      <c r="K138" s="107">
        <f t="shared" si="30"/>
        <v>-77052107.339004561</v>
      </c>
      <c r="L138" s="107">
        <f t="shared" si="30"/>
        <v>-75384905.877633035</v>
      </c>
      <c r="M138" s="107">
        <f t="shared" si="30"/>
        <v>-76814794.322377533</v>
      </c>
      <c r="N138" s="107">
        <f t="shared" si="30"/>
        <v>-71920455.901326671</v>
      </c>
      <c r="O138" s="107">
        <f t="shared" si="30"/>
        <v>-58611661.609777376</v>
      </c>
      <c r="P138" s="107">
        <f t="shared" si="30"/>
        <v>-56339953.290571086</v>
      </c>
      <c r="Q138" s="107">
        <f t="shared" si="30"/>
        <v>-54412773.578865476</v>
      </c>
      <c r="R138" s="107">
        <f t="shared" si="30"/>
        <v>-52526893.273296453</v>
      </c>
      <c r="S138" s="107">
        <f t="shared" si="30"/>
        <v>-49632702.204894647</v>
      </c>
      <c r="T138" s="107">
        <f t="shared" si="30"/>
        <v>37844554.237876691</v>
      </c>
      <c r="U138" s="107">
        <f t="shared" si="30"/>
        <v>36059122.338017941</v>
      </c>
      <c r="V138" s="107">
        <f t="shared" si="30"/>
        <v>34148262.476823926</v>
      </c>
      <c r="W138" s="107">
        <f t="shared" si="30"/>
        <v>32151997.823102817</v>
      </c>
      <c r="X138" s="107">
        <f t="shared" si="30"/>
        <v>30042475.363208648</v>
      </c>
      <c r="Y138" s="107">
        <f t="shared" si="30"/>
        <v>27903907.464845423</v>
      </c>
      <c r="Z138" s="107">
        <f t="shared" si="30"/>
        <v>25693249.90494718</v>
      </c>
      <c r="AA138" s="107">
        <f t="shared" si="30"/>
        <v>23460997.754649471</v>
      </c>
      <c r="AB138" s="107">
        <f t="shared" si="30"/>
        <v>21292239.285507955</v>
      </c>
      <c r="AC138" s="121">
        <f t="shared" si="30"/>
        <v>19209612.288338948</v>
      </c>
    </row>
    <row r="139" spans="2:29" ht="16.5" thickBot="1">
      <c r="B139" s="451"/>
      <c r="C139" s="452" t="s">
        <v>176</v>
      </c>
      <c r="D139" s="400">
        <f>D127-D131</f>
        <v>-139999692.0279533</v>
      </c>
      <c r="E139" s="400">
        <f t="shared" ref="E139:AC139" si="31">E127-E131</f>
        <v>-125906985.86170113</v>
      </c>
      <c r="F139" s="400">
        <f t="shared" si="31"/>
        <v>-115909376.3492039</v>
      </c>
      <c r="G139" s="400">
        <f t="shared" si="31"/>
        <v>-106274565.50297052</v>
      </c>
      <c r="H139" s="400">
        <f t="shared" si="31"/>
        <v>-98015306.674028605</v>
      </c>
      <c r="I139" s="107">
        <f t="shared" si="31"/>
        <v>-76122283.390222132</v>
      </c>
      <c r="J139" s="107">
        <f t="shared" si="31"/>
        <v>-36092468.7167781</v>
      </c>
      <c r="K139" s="107">
        <f t="shared" si="31"/>
        <v>-29223382.946038753</v>
      </c>
      <c r="L139" s="107">
        <f t="shared" si="31"/>
        <v>-22636413.812050626</v>
      </c>
      <c r="M139" s="107">
        <f t="shared" si="31"/>
        <v>-19231933.911494061</v>
      </c>
      <c r="N139" s="107">
        <f t="shared" si="31"/>
        <v>-9723211.0292922705</v>
      </c>
      <c r="O139" s="107">
        <f t="shared" si="31"/>
        <v>7475454.6891484559</v>
      </c>
      <c r="P139" s="107">
        <f t="shared" si="31"/>
        <v>13401312.997681499</v>
      </c>
      <c r="Q139" s="107">
        <f t="shared" si="31"/>
        <v>18810214.760410205</v>
      </c>
      <c r="R139" s="400">
        <f t="shared" si="31"/>
        <v>23877295.744033486</v>
      </c>
      <c r="S139" s="400">
        <f t="shared" si="31"/>
        <v>29686781.461152062</v>
      </c>
      <c r="T139" s="400">
        <f t="shared" si="31"/>
        <v>113848966.84594579</v>
      </c>
      <c r="U139" s="400">
        <f t="shared" si="31"/>
        <v>108477795.71535097</v>
      </c>
      <c r="V139" s="400">
        <f t="shared" si="31"/>
        <v>102729295.69030398</v>
      </c>
      <c r="W139" s="400">
        <f t="shared" si="31"/>
        <v>96723869.732617259</v>
      </c>
      <c r="X139" s="400">
        <f t="shared" si="31"/>
        <v>90377726.742329419</v>
      </c>
      <c r="Y139" s="400">
        <f t="shared" si="31"/>
        <v>83944205.442853302</v>
      </c>
      <c r="Z139" s="400">
        <f t="shared" si="31"/>
        <v>77293814.539511666</v>
      </c>
      <c r="AA139" s="400">
        <f t="shared" si="31"/>
        <v>70578459.948369995</v>
      </c>
      <c r="AB139" s="400">
        <f t="shared" si="31"/>
        <v>64054115.402040638</v>
      </c>
      <c r="AC139" s="472">
        <f t="shared" si="31"/>
        <v>57788882.881059855</v>
      </c>
    </row>
    <row r="140" spans="2:29" ht="19.5" thickBot="1">
      <c r="B140" s="635" t="s">
        <v>177</v>
      </c>
      <c r="C140" s="651"/>
      <c r="D140" s="519" t="s">
        <v>47</v>
      </c>
      <c r="E140" s="519" t="s">
        <v>72</v>
      </c>
      <c r="F140" s="521" t="s">
        <v>71</v>
      </c>
      <c r="G140" s="521" t="s">
        <v>233</v>
      </c>
      <c r="I140" s="566" t="s">
        <v>245</v>
      </c>
      <c r="J140" s="559"/>
      <c r="K140" s="559"/>
      <c r="L140" s="569" t="s">
        <v>246</v>
      </c>
      <c r="M140" s="556"/>
      <c r="N140" s="556"/>
      <c r="O140" s="556"/>
      <c r="P140" s="556"/>
      <c r="Q140" s="557"/>
      <c r="T140" s="508" t="s">
        <v>221</v>
      </c>
      <c r="U140" s="508" t="s">
        <v>222</v>
      </c>
      <c r="V140" s="508" t="s">
        <v>223</v>
      </c>
      <c r="W140" s="508" t="s">
        <v>224</v>
      </c>
      <c r="X140" s="508" t="s">
        <v>225</v>
      </c>
      <c r="Y140" s="509" t="s">
        <v>226</v>
      </c>
      <c r="Z140" s="114"/>
      <c r="AA140" s="114"/>
      <c r="AB140" s="114"/>
      <c r="AC140" s="114"/>
    </row>
    <row r="141" spans="2:29" ht="19.5" thickBot="1">
      <c r="B141" s="476"/>
      <c r="C141" s="518" t="s">
        <v>181</v>
      </c>
      <c r="D141" s="520">
        <f t="shared" ref="D141:D148" si="32">NPV(10%,E132:AC132)+D132</f>
        <v>-377822210.35880077</v>
      </c>
      <c r="E141" s="520">
        <f t="shared" ref="E141:E148" si="33">NPV(6%,E132:AC132)+D132</f>
        <v>-398278661.29684991</v>
      </c>
      <c r="F141" s="522">
        <f t="shared" ref="F141:F148" si="34">NPV(3%,E132:AC132)+D132</f>
        <v>-395934208.3467589</v>
      </c>
      <c r="G141" s="522">
        <f>NPV(0%,E132:AD132)+D132</f>
        <v>-354947158.7364831</v>
      </c>
      <c r="I141" s="558" t="s">
        <v>179</v>
      </c>
      <c r="J141" s="559" t="s">
        <v>215</v>
      </c>
      <c r="K141" s="559" t="s">
        <v>216</v>
      </c>
      <c r="L141" s="567" t="s">
        <v>178</v>
      </c>
      <c r="M141" s="568" t="s">
        <v>180</v>
      </c>
      <c r="N141" s="568" t="s">
        <v>217</v>
      </c>
      <c r="O141" s="568" t="s">
        <v>218</v>
      </c>
      <c r="P141" s="568" t="s">
        <v>219</v>
      </c>
      <c r="Q141" s="509" t="s">
        <v>220</v>
      </c>
      <c r="S141" s="505" t="s">
        <v>161</v>
      </c>
      <c r="T141" s="483">
        <f>L142/I142</f>
        <v>0.35312338646377506</v>
      </c>
      <c r="U141" s="484">
        <f>M142/I142</f>
        <v>1.0623122276812436</v>
      </c>
      <c r="V141" s="485">
        <f>N142/J142</f>
        <v>0.43953651063010124</v>
      </c>
      <c r="W141" s="483">
        <f>O142/J142</f>
        <v>1.3222715562131213</v>
      </c>
      <c r="X141" s="483">
        <f>P142/K142</f>
        <v>0.37082595514070088</v>
      </c>
      <c r="Y141" s="486">
        <f>$Q$114/K142</f>
        <v>0.35600160629838451</v>
      </c>
      <c r="Z141" s="114"/>
      <c r="AA141" s="114"/>
      <c r="AB141" s="114"/>
      <c r="AC141" s="114"/>
    </row>
    <row r="142" spans="2:29" ht="18.75">
      <c r="B142" s="476"/>
      <c r="C142" s="518" t="s">
        <v>182</v>
      </c>
      <c r="D142" s="520">
        <f t="shared" si="32"/>
        <v>36394797.867568478</v>
      </c>
      <c r="E142" s="520">
        <f t="shared" si="33"/>
        <v>229013818.77152529</v>
      </c>
      <c r="F142" s="522">
        <f t="shared" si="34"/>
        <v>500507509.60972202</v>
      </c>
      <c r="G142" s="522">
        <f>NPV(0%,E133:AD133)+D133</f>
        <v>982880037.4980948</v>
      </c>
      <c r="H142" s="493" t="s">
        <v>161</v>
      </c>
      <c r="I142" s="563">
        <f>NPV(10%,E128:AC128)+D128</f>
        <v>584071525.31514835</v>
      </c>
      <c r="J142" s="494">
        <f>NPV(6%,E128:AC128)+D128</f>
        <v>710623740.6197772</v>
      </c>
      <c r="K142" s="495">
        <f>NPV(3%,E128:AC128)+D128</f>
        <v>842295624.11405444</v>
      </c>
      <c r="L142" s="560">
        <f>NPV(10%,E126:AC126)+D126</f>
        <v>206249314.9563477</v>
      </c>
      <c r="M142" s="502">
        <f>NPV(10%,E127:AC127)+D127</f>
        <v>620466323.18271708</v>
      </c>
      <c r="N142" s="491">
        <f>NPV(6%,E126:AC126)+D126</f>
        <v>312345079.322927</v>
      </c>
      <c r="O142" s="491">
        <f>NPV(6%,E127:AC127)+D127</f>
        <v>939637559.39130223</v>
      </c>
      <c r="P142" s="492">
        <f>NPV(6%,E126:AC126)+D126</f>
        <v>312345079.322927</v>
      </c>
      <c r="Q142" s="491">
        <f>NPV(6%,E127:AC127)+D127</f>
        <v>939637559.39130223</v>
      </c>
      <c r="S142" s="506" t="s">
        <v>162</v>
      </c>
      <c r="T142" s="483">
        <f>L142/I143</f>
        <v>0.32357211027047278</v>
      </c>
      <c r="U142" s="484">
        <f>M142/I143</f>
        <v>0.97341219090344422</v>
      </c>
      <c r="V142" s="485">
        <f>N142/J143</f>
        <v>0.40552348968509172</v>
      </c>
      <c r="W142" s="483">
        <f>O142/J143</f>
        <v>1.2199491118910473</v>
      </c>
      <c r="X142" s="483">
        <f>P142/K143</f>
        <v>0.34401571671530823</v>
      </c>
      <c r="Y142" s="486">
        <f>$Q$114/K143</f>
        <v>0.33026314918024396</v>
      </c>
      <c r="Z142" s="114"/>
      <c r="AA142" s="114"/>
      <c r="AB142" s="114"/>
      <c r="AC142" s="114"/>
    </row>
    <row r="143" spans="2:29" ht="18.75">
      <c r="B143" s="476"/>
      <c r="C143" s="518" t="s">
        <v>183</v>
      </c>
      <c r="D143" s="520">
        <f t="shared" si="32"/>
        <v>-431164443.55313772</v>
      </c>
      <c r="E143" s="520">
        <f t="shared" si="33"/>
        <v>-457881768.85663939</v>
      </c>
      <c r="F143" s="522">
        <f t="shared" si="34"/>
        <v>-461576983.98148572</v>
      </c>
      <c r="G143" s="522">
        <f t="shared" ref="G143:G148" si="35">NPV(0%,E134:AD134)+D134</f>
        <v>-428281329.68550473</v>
      </c>
      <c r="H143" s="496" t="s">
        <v>162</v>
      </c>
      <c r="I143" s="564">
        <f>NPV(10%,E129:AC129)+D129</f>
        <v>637413758.50948536</v>
      </c>
      <c r="J143" s="497">
        <f>NPV(6%,E129:AC129)+D129</f>
        <v>770226848.17956614</v>
      </c>
      <c r="K143" s="498">
        <f>NPV(3%,E129:AC129)+D129</f>
        <v>907938399.7487812</v>
      </c>
      <c r="L143" s="561"/>
      <c r="M143" s="503"/>
      <c r="N143" s="503"/>
      <c r="O143" s="503"/>
      <c r="P143" s="503"/>
      <c r="Q143" s="503"/>
      <c r="S143" s="506" t="s">
        <v>163</v>
      </c>
      <c r="T143" s="483">
        <f>L142/I144</f>
        <v>0.21187403187826503</v>
      </c>
      <c r="U143" s="484">
        <f>M142/I144</f>
        <v>0.63738733660874614</v>
      </c>
      <c r="V143" s="485">
        <f>N142/J144</f>
        <v>0.26372190637806081</v>
      </c>
      <c r="W143" s="483">
        <f>O142/J144</f>
        <v>0.79336293372787303</v>
      </c>
      <c r="X143" s="483">
        <f>P142/K144</f>
        <v>0.22249557308442053</v>
      </c>
      <c r="Y143" s="486">
        <f>$Q$114/K144</f>
        <v>0.21360096377903073</v>
      </c>
      <c r="Z143" s="114"/>
      <c r="AA143" s="114"/>
      <c r="AB143" s="114"/>
      <c r="AC143" s="114"/>
    </row>
    <row r="144" spans="2:29" ht="19.5" thickBot="1">
      <c r="B144" s="476"/>
      <c r="C144" s="518" t="s">
        <v>184</v>
      </c>
      <c r="D144" s="520">
        <f t="shared" si="32"/>
        <v>-16947435.326768488</v>
      </c>
      <c r="E144" s="520">
        <f t="shared" si="33"/>
        <v>169410711.21173596</v>
      </c>
      <c r="F144" s="522">
        <f t="shared" si="34"/>
        <v>434864733.97499537</v>
      </c>
      <c r="G144" s="522">
        <f t="shared" si="35"/>
        <v>909545866.5490731</v>
      </c>
      <c r="H144" s="496" t="s">
        <v>163</v>
      </c>
      <c r="I144" s="564">
        <f>NPV(10%,E130:AC130)+D130</f>
        <v>973452542.19191396</v>
      </c>
      <c r="J144" s="497">
        <f>NPV(6%,E130:AC130)+D130</f>
        <v>1184372901.0329616</v>
      </c>
      <c r="K144" s="498">
        <f>NPV(3%,E130:AC130)+D130</f>
        <v>1403826040.1900907</v>
      </c>
      <c r="L144" s="561"/>
      <c r="M144" s="503"/>
      <c r="N144" s="503"/>
      <c r="O144" s="503"/>
      <c r="P144" s="503"/>
      <c r="Q144" s="503"/>
      <c r="S144" s="507" t="s">
        <v>164</v>
      </c>
      <c r="T144" s="487">
        <f>L142/I145</f>
        <v>0.19414326616228364</v>
      </c>
      <c r="U144" s="488">
        <f>M142/I145</f>
        <v>0.58404731454206649</v>
      </c>
      <c r="V144" s="489">
        <f>N142/J145</f>
        <v>0.24331409381105498</v>
      </c>
      <c r="W144" s="487">
        <f>O142/J145</f>
        <v>0.73196946713462818</v>
      </c>
      <c r="X144" s="487">
        <f>Q142/K145</f>
        <v>0.62094800240938719</v>
      </c>
      <c r="Y144" s="490">
        <f>$Q$114/K145</f>
        <v>0.19815788950814636</v>
      </c>
      <c r="Z144" s="114"/>
      <c r="AA144" s="114"/>
      <c r="AB144" s="114"/>
      <c r="AC144" s="114"/>
    </row>
    <row r="145" spans="2:34" ht="19.5" thickBot="1">
      <c r="B145" s="476"/>
      <c r="C145" s="518" t="s">
        <v>185</v>
      </c>
      <c r="D145" s="520">
        <f t="shared" si="32"/>
        <v>-767203227.23556614</v>
      </c>
      <c r="E145" s="520">
        <f t="shared" si="33"/>
        <v>-872027821.71003449</v>
      </c>
      <c r="F145" s="522">
        <f t="shared" si="34"/>
        <v>-957464624.42279482</v>
      </c>
      <c r="G145" s="522">
        <f t="shared" si="35"/>
        <v>-1035671005.6151333</v>
      </c>
      <c r="H145" s="499" t="s">
        <v>164</v>
      </c>
      <c r="I145" s="565">
        <f>NPV(10%,E131:AC131)+D131</f>
        <v>1062356264.1824758</v>
      </c>
      <c r="J145" s="500">
        <f>NPV(6%,E131:AC131)+D131</f>
        <v>1283711413.6326106</v>
      </c>
      <c r="K145" s="501">
        <f>NPV(3%,E131:AC131)+D131</f>
        <v>1513230666.2479687</v>
      </c>
      <c r="L145" s="562"/>
      <c r="M145" s="504"/>
      <c r="N145" s="504"/>
      <c r="O145" s="504"/>
      <c r="P145" s="504"/>
      <c r="Q145" s="504"/>
      <c r="R145" s="114"/>
      <c r="S145" s="114"/>
      <c r="T145" s="114"/>
      <c r="U145" s="114"/>
      <c r="V145" s="114"/>
      <c r="W145" s="114"/>
      <c r="X145" s="114"/>
      <c r="Y145" s="114"/>
      <c r="Z145" s="114"/>
      <c r="AA145" s="114"/>
      <c r="AB145" s="114"/>
      <c r="AC145" s="114"/>
    </row>
    <row r="146" spans="2:34" ht="18.75">
      <c r="B146" s="476"/>
      <c r="C146" s="518" t="s">
        <v>186</v>
      </c>
      <c r="D146" s="520">
        <f t="shared" si="32"/>
        <v>-352986219.009197</v>
      </c>
      <c r="E146" s="520">
        <f t="shared" si="33"/>
        <v>-244735341.6416592</v>
      </c>
      <c r="F146" s="522">
        <f t="shared" si="34"/>
        <v>-61022906.466314122</v>
      </c>
      <c r="G146" s="522">
        <f t="shared" si="35"/>
        <v>302156190.61944509</v>
      </c>
      <c r="H146" s="481"/>
      <c r="I146" s="296"/>
      <c r="J146" s="480"/>
      <c r="K146" s="480"/>
      <c r="L146" s="112"/>
      <c r="M146" s="112"/>
      <c r="N146" s="112"/>
      <c r="O146" s="112"/>
      <c r="P146" s="112"/>
      <c r="Q146" s="471"/>
      <c r="R146" s="471"/>
      <c r="S146" s="471"/>
      <c r="T146" s="471"/>
      <c r="U146" s="471"/>
      <c r="V146" s="471"/>
      <c r="W146" s="471"/>
      <c r="X146" s="471"/>
      <c r="Y146" s="471"/>
      <c r="Z146" s="112"/>
      <c r="AA146" s="112"/>
      <c r="AB146" s="471"/>
      <c r="AC146" s="471"/>
      <c r="AD146" s="471"/>
      <c r="AE146" s="471"/>
      <c r="AF146" s="471"/>
      <c r="AG146" s="471"/>
      <c r="AH146" s="112"/>
    </row>
    <row r="147" spans="2:34" ht="18.75">
      <c r="B147" s="476"/>
      <c r="C147" s="518" t="s">
        <v>187</v>
      </c>
      <c r="D147" s="520">
        <f t="shared" si="32"/>
        <v>-856106949.22612762</v>
      </c>
      <c r="E147" s="520">
        <f t="shared" si="33"/>
        <v>-971366334.30968356</v>
      </c>
      <c r="F147" s="522">
        <f t="shared" si="34"/>
        <v>-1066869250.4806736</v>
      </c>
      <c r="G147" s="522">
        <f t="shared" si="35"/>
        <v>-1157894623.8635027</v>
      </c>
      <c r="H147" s="481"/>
      <c r="I147" s="296"/>
      <c r="J147" s="112"/>
      <c r="K147" s="471"/>
      <c r="L147" s="471"/>
      <c r="M147" s="471"/>
      <c r="N147" s="471"/>
      <c r="O147" s="471"/>
      <c r="P147" s="512"/>
      <c r="Q147" s="478"/>
      <c r="R147" s="478"/>
      <c r="S147" s="478"/>
      <c r="T147" s="480"/>
      <c r="U147" s="480"/>
      <c r="V147" s="296"/>
      <c r="W147" s="296"/>
      <c r="X147" s="481"/>
      <c r="Y147" s="296"/>
      <c r="Z147" s="112"/>
      <c r="AA147" s="512"/>
      <c r="AB147" s="480"/>
      <c r="AC147" s="481"/>
      <c r="AD147" s="482"/>
      <c r="AE147" s="480"/>
      <c r="AF147" s="480"/>
      <c r="AG147" s="480"/>
      <c r="AH147" s="112"/>
    </row>
    <row r="148" spans="2:34" ht="19.5" thickBot="1">
      <c r="B148" s="636"/>
      <c r="C148" s="652" t="s">
        <v>188</v>
      </c>
      <c r="D148" s="653">
        <f t="shared" si="32"/>
        <v>-441889940.99975872</v>
      </c>
      <c r="E148" s="653">
        <f t="shared" si="33"/>
        <v>-344073854.24130821</v>
      </c>
      <c r="F148" s="609">
        <f t="shared" si="34"/>
        <v>-170427532.52419215</v>
      </c>
      <c r="G148" s="609">
        <f t="shared" si="35"/>
        <v>179932572.37107524</v>
      </c>
      <c r="H148" s="481"/>
      <c r="I148" s="296"/>
      <c r="J148" s="512"/>
      <c r="K148" s="478"/>
      <c r="L148" s="478"/>
      <c r="M148" s="478"/>
      <c r="N148" s="480"/>
      <c r="O148" s="480"/>
      <c r="P148" s="512"/>
      <c r="Q148" s="478"/>
      <c r="R148" s="478"/>
      <c r="S148" s="478"/>
      <c r="T148" s="117"/>
      <c r="U148" s="117"/>
      <c r="V148" s="117"/>
      <c r="W148" s="117"/>
      <c r="X148" s="117"/>
      <c r="Y148" s="117"/>
      <c r="Z148" s="112"/>
      <c r="AA148" s="512"/>
      <c r="AB148" s="480"/>
      <c r="AC148" s="481"/>
      <c r="AD148" s="482"/>
      <c r="AE148" s="480"/>
      <c r="AF148" s="480"/>
      <c r="AG148" s="480"/>
      <c r="AH148" s="112"/>
    </row>
    <row r="149" spans="2:34" ht="16.5" thickBot="1">
      <c r="J149" s="512"/>
      <c r="K149" s="478"/>
      <c r="L149" s="478"/>
      <c r="M149" s="478"/>
      <c r="N149" s="117"/>
      <c r="O149" s="117"/>
      <c r="P149" s="512"/>
      <c r="Q149" s="478"/>
      <c r="R149" s="478"/>
      <c r="S149" s="478"/>
      <c r="T149" s="117"/>
      <c r="U149" s="117"/>
      <c r="V149" s="117"/>
      <c r="W149" s="117"/>
      <c r="X149" s="117"/>
      <c r="Y149" s="117"/>
      <c r="Z149" s="112"/>
      <c r="AA149" s="512"/>
      <c r="AB149" s="480"/>
      <c r="AC149" s="481"/>
      <c r="AD149" s="482"/>
      <c r="AE149" s="480"/>
      <c r="AF149" s="480"/>
      <c r="AG149" s="480"/>
      <c r="AH149" s="112"/>
    </row>
    <row r="150" spans="2:34" ht="24" thickBot="1">
      <c r="B150" s="285" t="s">
        <v>254</v>
      </c>
      <c r="C150" s="286"/>
      <c r="D150" s="284"/>
      <c r="E150" s="284"/>
      <c r="F150" s="282"/>
      <c r="G150" s="282"/>
      <c r="H150" s="282"/>
      <c r="I150" s="282"/>
      <c r="J150" s="282"/>
      <c r="K150" s="282"/>
      <c r="L150" s="282"/>
      <c r="M150" s="282"/>
      <c r="N150" s="282"/>
      <c r="O150" s="282"/>
      <c r="P150" s="282"/>
      <c r="Q150" s="282"/>
      <c r="R150" s="282"/>
      <c r="S150" s="282"/>
      <c r="T150" s="282"/>
      <c r="U150" s="282"/>
      <c r="V150" s="282"/>
      <c r="W150" s="282"/>
      <c r="X150" s="282"/>
      <c r="Y150" s="282"/>
      <c r="Z150" s="282"/>
      <c r="AA150" s="282"/>
      <c r="AB150" s="282"/>
      <c r="AC150" s="282"/>
    </row>
    <row r="151" spans="2:34" ht="19.5" thickBot="1">
      <c r="B151" s="108"/>
      <c r="C151" s="98"/>
      <c r="D151" s="98">
        <v>2015</v>
      </c>
    </row>
    <row r="152" spans="2:34" ht="18.75">
      <c r="B152" s="110" t="s">
        <v>44</v>
      </c>
      <c r="C152" s="93"/>
      <c r="D152" s="93">
        <v>1</v>
      </c>
      <c r="E152" s="93">
        <v>2</v>
      </c>
      <c r="F152" s="93">
        <v>3</v>
      </c>
      <c r="G152" s="93">
        <v>4</v>
      </c>
      <c r="H152" s="93">
        <v>5</v>
      </c>
      <c r="I152" s="93">
        <v>6</v>
      </c>
      <c r="J152" s="93">
        <v>7</v>
      </c>
      <c r="K152" s="93">
        <v>8</v>
      </c>
      <c r="L152" s="93">
        <v>9</v>
      </c>
      <c r="M152" s="93">
        <v>10</v>
      </c>
      <c r="N152" s="93">
        <v>11</v>
      </c>
      <c r="O152" s="93">
        <v>12</v>
      </c>
      <c r="P152" s="93">
        <v>13</v>
      </c>
      <c r="Q152" s="93">
        <v>14</v>
      </c>
      <c r="R152" s="93">
        <v>15</v>
      </c>
      <c r="S152" s="93">
        <v>16</v>
      </c>
      <c r="T152" s="93">
        <v>17</v>
      </c>
      <c r="U152" s="93">
        <v>18</v>
      </c>
      <c r="V152" s="93">
        <v>19</v>
      </c>
      <c r="W152" s="93">
        <v>20</v>
      </c>
      <c r="X152" s="93">
        <v>21</v>
      </c>
      <c r="Y152" s="93">
        <v>22</v>
      </c>
      <c r="Z152" s="93">
        <v>23</v>
      </c>
      <c r="AA152" s="93">
        <v>24</v>
      </c>
      <c r="AB152" s="93">
        <v>25</v>
      </c>
      <c r="AC152" s="93">
        <v>26</v>
      </c>
    </row>
    <row r="153" spans="2:34" ht="15.75">
      <c r="B153" s="95" t="s">
        <v>49</v>
      </c>
      <c r="C153" s="96"/>
      <c r="D153" s="96"/>
      <c r="E153" s="96"/>
      <c r="F153" s="96"/>
      <c r="G153" s="96"/>
      <c r="H153" s="96"/>
      <c r="I153" s="96"/>
      <c r="J153" s="96"/>
      <c r="K153" s="96"/>
      <c r="L153" s="96"/>
      <c r="M153" s="105"/>
      <c r="N153" s="101"/>
      <c r="O153" s="101"/>
      <c r="P153" s="102"/>
      <c r="Q153" s="102"/>
      <c r="R153" s="102"/>
      <c r="S153" s="102"/>
      <c r="T153" s="102"/>
      <c r="U153" s="102"/>
      <c r="V153" s="102"/>
      <c r="W153" s="102"/>
      <c r="X153" s="102"/>
      <c r="Y153" s="102"/>
      <c r="Z153" s="102"/>
      <c r="AA153" s="102"/>
      <c r="AB153" s="102"/>
      <c r="AC153" s="102"/>
    </row>
    <row r="154" spans="2:34" ht="15.75">
      <c r="B154" s="100" t="s">
        <v>50</v>
      </c>
      <c r="C154" s="453" t="s">
        <v>156</v>
      </c>
      <c r="D154" s="106">
        <f t="shared" ref="D154:AC154" si="36">(D51-D54)*$C$42</f>
        <v>3700702.4225785416</v>
      </c>
      <c r="E154" s="106">
        <f t="shared" si="36"/>
        <v>7784395.7246642578</v>
      </c>
      <c r="F154" s="106">
        <f t="shared" si="36"/>
        <v>12311871.847375851</v>
      </c>
      <c r="G154" s="106">
        <f t="shared" si="36"/>
        <v>17235955.165595569</v>
      </c>
      <c r="H154" s="106">
        <f t="shared" si="36"/>
        <v>22535844.169358965</v>
      </c>
      <c r="I154" s="106">
        <f t="shared" si="36"/>
        <v>28211925.987752426</v>
      </c>
      <c r="J154" s="106">
        <f t="shared" si="36"/>
        <v>33468713.792794488</v>
      </c>
      <c r="K154" s="106">
        <f t="shared" si="36"/>
        <v>38826285.194335066</v>
      </c>
      <c r="L154" s="106">
        <f t="shared" si="36"/>
        <v>44243343.328198992</v>
      </c>
      <c r="M154" s="106">
        <f t="shared" si="36"/>
        <v>49644722.711116657</v>
      </c>
      <c r="N154" s="106">
        <f t="shared" si="36"/>
        <v>54911300.103970066</v>
      </c>
      <c r="O154" s="106">
        <f t="shared" si="36"/>
        <v>60026946.958690688</v>
      </c>
      <c r="P154" s="106">
        <f t="shared" si="36"/>
        <v>64929862.714075245</v>
      </c>
      <c r="Q154" s="106">
        <f t="shared" si="36"/>
        <v>69629341.825098991</v>
      </c>
      <c r="R154" s="106">
        <f t="shared" si="36"/>
        <v>74037050.592957899</v>
      </c>
      <c r="S154" s="106">
        <f t="shared" si="36"/>
        <v>78172935.718700901</v>
      </c>
      <c r="T154" s="106">
        <f t="shared" si="36"/>
        <v>76082039.344921917</v>
      </c>
      <c r="U154" s="106">
        <f t="shared" si="36"/>
        <v>73409933.902534172</v>
      </c>
      <c r="V154" s="106">
        <f t="shared" si="36"/>
        <v>70347179.609499171</v>
      </c>
      <c r="W154" s="106">
        <f t="shared" si="36"/>
        <v>66972690.874061041</v>
      </c>
      <c r="X154" s="106">
        <f t="shared" si="36"/>
        <v>63252797.460660376</v>
      </c>
      <c r="Y154" s="106">
        <f t="shared" si="36"/>
        <v>59369706.739420287</v>
      </c>
      <c r="Z154" s="106">
        <f t="shared" si="36"/>
        <v>55202881.071532428</v>
      </c>
      <c r="AA154" s="106">
        <f t="shared" si="36"/>
        <v>50907964.756387614</v>
      </c>
      <c r="AB154" s="106">
        <f t="shared" si="36"/>
        <v>46678503.600199878</v>
      </c>
      <c r="AC154" s="106">
        <f t="shared" si="36"/>
        <v>42540587.790254891</v>
      </c>
    </row>
    <row r="155" spans="2:34" ht="15.75">
      <c r="B155" s="100"/>
      <c r="C155" s="453" t="s">
        <v>155</v>
      </c>
      <c r="D155" s="106">
        <f t="shared" ref="D155:AC155" si="37">(D51-D54)*$D$42</f>
        <v>11132939.88790537</v>
      </c>
      <c r="E155" s="106">
        <f t="shared" si="37"/>
        <v>23418043.325399384</v>
      </c>
      <c r="F155" s="106">
        <f t="shared" si="37"/>
        <v>37038192.627475642</v>
      </c>
      <c r="G155" s="106">
        <f t="shared" si="37"/>
        <v>51851467.872282028</v>
      </c>
      <c r="H155" s="106">
        <f t="shared" si="37"/>
        <v>67795291.220919922</v>
      </c>
      <c r="I155" s="106">
        <f t="shared" si="37"/>
        <v>84870827.286037266</v>
      </c>
      <c r="J155" s="106">
        <f t="shared" si="37"/>
        <v>100684987.93833576</v>
      </c>
      <c r="K155" s="106">
        <f t="shared" si="37"/>
        <v>116802339.06459922</v>
      </c>
      <c r="L155" s="106">
        <f t="shared" si="37"/>
        <v>133098646.00504626</v>
      </c>
      <c r="M155" s="106">
        <f t="shared" si="37"/>
        <v>149347786.06421772</v>
      </c>
      <c r="N155" s="106">
        <f t="shared" si="37"/>
        <v>165191397.04247761</v>
      </c>
      <c r="O155" s="106">
        <f t="shared" si="37"/>
        <v>180580958.91967234</v>
      </c>
      <c r="P155" s="106">
        <f t="shared" si="37"/>
        <v>195330555.11717692</v>
      </c>
      <c r="Q155" s="106">
        <f t="shared" si="37"/>
        <v>209468146.43721607</v>
      </c>
      <c r="R155" s="106">
        <f t="shared" si="37"/>
        <v>222727995.82596415</v>
      </c>
      <c r="S155" s="106">
        <f t="shared" si="37"/>
        <v>235170109.57368246</v>
      </c>
      <c r="T155" s="106">
        <f t="shared" si="37"/>
        <v>228880000.02607352</v>
      </c>
      <c r="U155" s="106">
        <f t="shared" si="37"/>
        <v>220841420.89505556</v>
      </c>
      <c r="V155" s="106">
        <f t="shared" si="37"/>
        <v>211627640.49819115</v>
      </c>
      <c r="W155" s="106">
        <f t="shared" si="37"/>
        <v>201476059.5402523</v>
      </c>
      <c r="X155" s="106">
        <f t="shared" si="37"/>
        <v>190285386.78901035</v>
      </c>
      <c r="Y155" s="106">
        <f t="shared" si="37"/>
        <v>178603762.42626911</v>
      </c>
      <c r="Z155" s="106">
        <f t="shared" si="37"/>
        <v>166068569.26916727</v>
      </c>
      <c r="AA155" s="106">
        <f t="shared" si="37"/>
        <v>153148036.97552365</v>
      </c>
      <c r="AB155" s="106">
        <f t="shared" si="37"/>
        <v>140424415.5022628</v>
      </c>
      <c r="AC155" s="106">
        <f t="shared" si="37"/>
        <v>127976192.78317355</v>
      </c>
    </row>
    <row r="156" spans="2:34" ht="15.75">
      <c r="B156" s="97" t="s">
        <v>45</v>
      </c>
      <c r="C156" s="448" t="s">
        <v>161</v>
      </c>
      <c r="D156" s="109">
        <f t="shared" ref="D156:AC156" si="38">D50*D79</f>
        <v>78509311.006142974</v>
      </c>
      <c r="E156" s="109">
        <f t="shared" si="38"/>
        <v>75987919.659970507</v>
      </c>
      <c r="F156" s="109">
        <f t="shared" si="38"/>
        <v>75629026.247389197</v>
      </c>
      <c r="G156" s="109">
        <f t="shared" si="38"/>
        <v>75484135.604440898</v>
      </c>
      <c r="H156" s="109">
        <f t="shared" si="38"/>
        <v>76090803.542847753</v>
      </c>
      <c r="I156" s="109">
        <f t="shared" si="38"/>
        <v>77338851.371471748</v>
      </c>
      <c r="J156" s="109">
        <f t="shared" si="38"/>
        <v>58428754.696776889</v>
      </c>
      <c r="K156" s="109">
        <f t="shared" si="38"/>
        <v>58791203.471794635</v>
      </c>
      <c r="L156" s="109">
        <f t="shared" si="38"/>
        <v>59247276.102367587</v>
      </c>
      <c r="M156" s="109">
        <f t="shared" si="38"/>
        <v>61483725.149828441</v>
      </c>
      <c r="N156" s="109">
        <f t="shared" si="38"/>
        <v>59970209.764900342</v>
      </c>
      <c r="O156" s="109">
        <f t="shared" si="38"/>
        <v>53342000.803607039</v>
      </c>
      <c r="P156" s="109">
        <f t="shared" si="38"/>
        <v>53078425.260858484</v>
      </c>
      <c r="Q156" s="109">
        <f t="shared" si="38"/>
        <v>52965618.713960931</v>
      </c>
      <c r="R156" s="109">
        <f t="shared" si="38"/>
        <v>52789666.634082012</v>
      </c>
      <c r="S156" s="109">
        <f t="shared" si="38"/>
        <v>51948842.28753569</v>
      </c>
      <c r="T156" s="109">
        <f t="shared" si="38"/>
        <v>0</v>
      </c>
      <c r="U156" s="109">
        <f t="shared" si="38"/>
        <v>0</v>
      </c>
      <c r="V156" s="109">
        <f t="shared" si="38"/>
        <v>0</v>
      </c>
      <c r="W156" s="109">
        <f t="shared" si="38"/>
        <v>0</v>
      </c>
      <c r="X156" s="109">
        <f t="shared" si="38"/>
        <v>0</v>
      </c>
      <c r="Y156" s="109">
        <f t="shared" si="38"/>
        <v>0</v>
      </c>
      <c r="Z156" s="109">
        <f t="shared" si="38"/>
        <v>0</v>
      </c>
      <c r="AA156" s="109">
        <f t="shared" si="38"/>
        <v>0</v>
      </c>
      <c r="AB156" s="109">
        <f t="shared" si="38"/>
        <v>0</v>
      </c>
      <c r="AC156" s="109">
        <f t="shared" si="38"/>
        <v>0</v>
      </c>
    </row>
    <row r="157" spans="2:34" ht="15.75">
      <c r="B157" s="460" t="s">
        <v>198</v>
      </c>
      <c r="C157" s="448" t="s">
        <v>162</v>
      </c>
      <c r="D157" s="109">
        <f t="shared" ref="D157:AC157" si="39">D50*D80</f>
        <v>89724926.864163384</v>
      </c>
      <c r="E157" s="109">
        <f t="shared" si="39"/>
        <v>86843336.754252002</v>
      </c>
      <c r="F157" s="109">
        <f t="shared" si="39"/>
        <v>86433172.854159072</v>
      </c>
      <c r="G157" s="109">
        <f t="shared" si="39"/>
        <v>86267583.547932431</v>
      </c>
      <c r="H157" s="109">
        <f t="shared" si="39"/>
        <v>86960918.33468312</v>
      </c>
      <c r="I157" s="109">
        <f t="shared" si="39"/>
        <v>79613523.470632687</v>
      </c>
      <c r="J157" s="109">
        <f t="shared" si="39"/>
        <v>60147247.481976211</v>
      </c>
      <c r="K157" s="109">
        <f t="shared" si="39"/>
        <v>60520356.515082717</v>
      </c>
      <c r="L157" s="109">
        <f t="shared" si="39"/>
        <v>60989843.046554871</v>
      </c>
      <c r="M157" s="109">
        <f t="shared" si="39"/>
        <v>63292070.00717634</v>
      </c>
      <c r="N157" s="109">
        <f t="shared" si="39"/>
        <v>61734039.463868007</v>
      </c>
      <c r="O157" s="109">
        <f t="shared" si="39"/>
        <v>54910883.180183716</v>
      </c>
      <c r="P157" s="109">
        <f t="shared" si="39"/>
        <v>54639555.415589616</v>
      </c>
      <c r="Q157" s="109">
        <f t="shared" si="39"/>
        <v>54523431.029077433</v>
      </c>
      <c r="R157" s="109">
        <f t="shared" si="39"/>
        <v>54342303.888025604</v>
      </c>
      <c r="S157" s="109">
        <f t="shared" si="39"/>
        <v>53476749.41363968</v>
      </c>
      <c r="T157" s="109">
        <f t="shared" si="39"/>
        <v>0</v>
      </c>
      <c r="U157" s="109">
        <f t="shared" si="39"/>
        <v>0</v>
      </c>
      <c r="V157" s="109">
        <f t="shared" si="39"/>
        <v>0</v>
      </c>
      <c r="W157" s="109">
        <f t="shared" si="39"/>
        <v>0</v>
      </c>
      <c r="X157" s="109">
        <f t="shared" si="39"/>
        <v>0</v>
      </c>
      <c r="Y157" s="109">
        <f t="shared" si="39"/>
        <v>0</v>
      </c>
      <c r="Z157" s="109">
        <f t="shared" si="39"/>
        <v>0</v>
      </c>
      <c r="AA157" s="109">
        <f t="shared" si="39"/>
        <v>0</v>
      </c>
      <c r="AB157" s="109">
        <f t="shared" si="39"/>
        <v>0</v>
      </c>
      <c r="AC157" s="109">
        <f t="shared" si="39"/>
        <v>0</v>
      </c>
    </row>
    <row r="158" spans="2:34" ht="15.75">
      <c r="B158" s="97"/>
      <c r="C158" s="448" t="s">
        <v>163</v>
      </c>
      <c r="D158" s="109">
        <f t="shared" ref="D158:AC158" si="40">D50*D82</f>
        <v>130848851.67690495</v>
      </c>
      <c r="E158" s="109">
        <f t="shared" si="40"/>
        <v>126646532.76661751</v>
      </c>
      <c r="F158" s="109">
        <f t="shared" si="40"/>
        <v>126048377.07898198</v>
      </c>
      <c r="G158" s="109">
        <f t="shared" si="40"/>
        <v>125806892.67406814</v>
      </c>
      <c r="H158" s="109">
        <f t="shared" si="40"/>
        <v>126818005.90474623</v>
      </c>
      <c r="I158" s="109">
        <f t="shared" si="40"/>
        <v>128898085.61911955</v>
      </c>
      <c r="J158" s="109">
        <f t="shared" si="40"/>
        <v>97381257.827961475</v>
      </c>
      <c r="K158" s="109">
        <f t="shared" si="40"/>
        <v>97985339.11965771</v>
      </c>
      <c r="L158" s="109">
        <f t="shared" si="40"/>
        <v>98745460.170612633</v>
      </c>
      <c r="M158" s="109">
        <f t="shared" si="40"/>
        <v>102472875.24971406</v>
      </c>
      <c r="N158" s="109">
        <f t="shared" si="40"/>
        <v>99950349.608167231</v>
      </c>
      <c r="O158" s="109">
        <f t="shared" si="40"/>
        <v>88903334.672678381</v>
      </c>
      <c r="P158" s="109">
        <f t="shared" si="40"/>
        <v>88464042.101430789</v>
      </c>
      <c r="Q158" s="109">
        <f t="shared" si="40"/>
        <v>88276031.18993488</v>
      </c>
      <c r="R158" s="109">
        <f t="shared" si="40"/>
        <v>87982777.723470017</v>
      </c>
      <c r="S158" s="109">
        <f t="shared" si="40"/>
        <v>86581403.812559471</v>
      </c>
      <c r="T158" s="109">
        <f t="shared" si="40"/>
        <v>0</v>
      </c>
      <c r="U158" s="109">
        <f t="shared" si="40"/>
        <v>0</v>
      </c>
      <c r="V158" s="109">
        <f t="shared" si="40"/>
        <v>0</v>
      </c>
      <c r="W158" s="109">
        <f t="shared" si="40"/>
        <v>0</v>
      </c>
      <c r="X158" s="109">
        <f t="shared" si="40"/>
        <v>0</v>
      </c>
      <c r="Y158" s="109">
        <f t="shared" si="40"/>
        <v>0</v>
      </c>
      <c r="Z158" s="109">
        <f t="shared" si="40"/>
        <v>0</v>
      </c>
      <c r="AA158" s="109">
        <f t="shared" si="40"/>
        <v>0</v>
      </c>
      <c r="AB158" s="109">
        <f t="shared" si="40"/>
        <v>0</v>
      </c>
      <c r="AC158" s="109">
        <f t="shared" si="40"/>
        <v>0</v>
      </c>
    </row>
    <row r="159" spans="2:34" ht="15.75">
      <c r="B159" s="97"/>
      <c r="C159" s="448" t="s">
        <v>164</v>
      </c>
      <c r="D159" s="109">
        <f t="shared" ref="D159:AC159" si="41">D50*D83</f>
        <v>149541544.77360564</v>
      </c>
      <c r="E159" s="109">
        <f t="shared" si="41"/>
        <v>144738894.59042001</v>
      </c>
      <c r="F159" s="109">
        <f t="shared" si="41"/>
        <v>144055288.09026513</v>
      </c>
      <c r="G159" s="109">
        <f t="shared" si="41"/>
        <v>143779305.91322073</v>
      </c>
      <c r="H159" s="109">
        <f t="shared" si="41"/>
        <v>144934863.89113855</v>
      </c>
      <c r="I159" s="109">
        <f t="shared" si="41"/>
        <v>132689205.7843878</v>
      </c>
      <c r="J159" s="109">
        <f t="shared" si="41"/>
        <v>100245412.46996035</v>
      </c>
      <c r="K159" s="109">
        <f t="shared" si="41"/>
        <v>100867260.85847118</v>
      </c>
      <c r="L159" s="109">
        <f t="shared" si="41"/>
        <v>101649738.41092478</v>
      </c>
      <c r="M159" s="109">
        <f t="shared" si="41"/>
        <v>105486783.34529388</v>
      </c>
      <c r="N159" s="109">
        <f t="shared" si="41"/>
        <v>102890065.77311334</v>
      </c>
      <c r="O159" s="109">
        <f t="shared" si="41"/>
        <v>91518138.633639514</v>
      </c>
      <c r="P159" s="109">
        <f t="shared" si="41"/>
        <v>91065925.69264935</v>
      </c>
      <c r="Q159" s="109">
        <f t="shared" si="41"/>
        <v>90872385.048462376</v>
      </c>
      <c r="R159" s="109">
        <f t="shared" si="41"/>
        <v>90570506.480042666</v>
      </c>
      <c r="S159" s="109">
        <f t="shared" si="41"/>
        <v>89127915.689399466</v>
      </c>
      <c r="T159" s="109">
        <f t="shared" si="41"/>
        <v>0</v>
      </c>
      <c r="U159" s="109">
        <f t="shared" si="41"/>
        <v>0</v>
      </c>
      <c r="V159" s="109">
        <f t="shared" si="41"/>
        <v>0</v>
      </c>
      <c r="W159" s="109">
        <f t="shared" si="41"/>
        <v>0</v>
      </c>
      <c r="X159" s="109">
        <f t="shared" si="41"/>
        <v>0</v>
      </c>
      <c r="Y159" s="109">
        <f t="shared" si="41"/>
        <v>0</v>
      </c>
      <c r="Z159" s="109">
        <f t="shared" si="41"/>
        <v>0</v>
      </c>
      <c r="AA159" s="109">
        <f t="shared" si="41"/>
        <v>0</v>
      </c>
      <c r="AB159" s="109">
        <f t="shared" si="41"/>
        <v>0</v>
      </c>
      <c r="AC159" s="109">
        <f t="shared" si="41"/>
        <v>0</v>
      </c>
    </row>
    <row r="160" spans="2:34" ht="15.75">
      <c r="B160" s="450" t="s">
        <v>46</v>
      </c>
      <c r="C160" s="449" t="s">
        <v>170</v>
      </c>
      <c r="D160" s="107">
        <f>D154-D156</f>
        <v>-74808608.58356443</v>
      </c>
      <c r="E160" s="107">
        <f t="shared" ref="E160:AC160" si="42">E154-E156</f>
        <v>-68203523.935306251</v>
      </c>
      <c r="F160" s="107">
        <f t="shared" si="42"/>
        <v>-63317154.400013342</v>
      </c>
      <c r="G160" s="107">
        <f t="shared" si="42"/>
        <v>-58248180.438845329</v>
      </c>
      <c r="H160" s="107">
        <f t="shared" si="42"/>
        <v>-53554959.373488784</v>
      </c>
      <c r="I160" s="107">
        <f t="shared" si="42"/>
        <v>-49126925.383719325</v>
      </c>
      <c r="J160" s="107">
        <f t="shared" si="42"/>
        <v>-24960040.903982401</v>
      </c>
      <c r="K160" s="107">
        <f t="shared" si="42"/>
        <v>-19964918.277459569</v>
      </c>
      <c r="L160" s="107">
        <f t="shared" si="42"/>
        <v>-15003932.774168596</v>
      </c>
      <c r="M160" s="107">
        <f t="shared" si="42"/>
        <v>-11839002.438711785</v>
      </c>
      <c r="N160" s="107">
        <f t="shared" si="42"/>
        <v>-5058909.6609302759</v>
      </c>
      <c r="O160" s="107">
        <f t="shared" si="42"/>
        <v>6684946.1550836489</v>
      </c>
      <c r="P160" s="107">
        <f t="shared" si="42"/>
        <v>11851437.453216761</v>
      </c>
      <c r="Q160" s="107">
        <f t="shared" si="42"/>
        <v>16663723.111138061</v>
      </c>
      <c r="R160" s="107">
        <f t="shared" si="42"/>
        <v>21247383.958875887</v>
      </c>
      <c r="S160" s="107">
        <f t="shared" si="42"/>
        <v>26224093.431165211</v>
      </c>
      <c r="T160" s="107">
        <f t="shared" si="42"/>
        <v>76082039.344921917</v>
      </c>
      <c r="U160" s="107">
        <f t="shared" si="42"/>
        <v>73409933.902534172</v>
      </c>
      <c r="V160" s="107">
        <f t="shared" si="42"/>
        <v>70347179.609499171</v>
      </c>
      <c r="W160" s="107">
        <f t="shared" si="42"/>
        <v>66972690.874061041</v>
      </c>
      <c r="X160" s="107">
        <f t="shared" si="42"/>
        <v>63252797.460660376</v>
      </c>
      <c r="Y160" s="107">
        <f t="shared" si="42"/>
        <v>59369706.739420287</v>
      </c>
      <c r="Z160" s="107">
        <f t="shared" si="42"/>
        <v>55202881.071532428</v>
      </c>
      <c r="AA160" s="107">
        <f t="shared" si="42"/>
        <v>50907964.756387614</v>
      </c>
      <c r="AB160" s="107">
        <f t="shared" si="42"/>
        <v>46678503.600199878</v>
      </c>
      <c r="AC160" s="107">
        <f t="shared" si="42"/>
        <v>42540587.790254891</v>
      </c>
    </row>
    <row r="161" spans="2:29" ht="15.75">
      <c r="B161" s="182"/>
      <c r="C161" s="449" t="s">
        <v>171</v>
      </c>
      <c r="D161" s="107">
        <f>D155-D156</f>
        <v>-67376371.1182376</v>
      </c>
      <c r="E161" s="107">
        <f t="shared" ref="E161:AC161" si="43">E155-E156</f>
        <v>-52569876.334571123</v>
      </c>
      <c r="F161" s="107">
        <f t="shared" si="43"/>
        <v>-38590833.619913556</v>
      </c>
      <c r="G161" s="107">
        <f t="shared" si="43"/>
        <v>-23632667.73215887</v>
      </c>
      <c r="H161" s="107">
        <f t="shared" si="43"/>
        <v>-8295512.3219278306</v>
      </c>
      <c r="I161" s="107">
        <f t="shared" si="43"/>
        <v>7531975.9145655185</v>
      </c>
      <c r="J161" s="107">
        <f t="shared" si="43"/>
        <v>42256233.241558872</v>
      </c>
      <c r="K161" s="107">
        <f t="shared" si="43"/>
        <v>58011135.592804581</v>
      </c>
      <c r="L161" s="107">
        <f t="shared" si="43"/>
        <v>73851369.902678668</v>
      </c>
      <c r="M161" s="107">
        <f t="shared" si="43"/>
        <v>87864060.914389282</v>
      </c>
      <c r="N161" s="107">
        <f t="shared" si="43"/>
        <v>105221187.27757727</v>
      </c>
      <c r="O161" s="107">
        <f t="shared" si="43"/>
        <v>127238958.11606529</v>
      </c>
      <c r="P161" s="107">
        <f t="shared" si="43"/>
        <v>142252129.85631844</v>
      </c>
      <c r="Q161" s="107">
        <f t="shared" si="43"/>
        <v>156502527.72325516</v>
      </c>
      <c r="R161" s="107">
        <f t="shared" si="43"/>
        <v>169938329.19188213</v>
      </c>
      <c r="S161" s="107">
        <f t="shared" si="43"/>
        <v>183221267.28614676</v>
      </c>
      <c r="T161" s="107">
        <f t="shared" si="43"/>
        <v>228880000.02607352</v>
      </c>
      <c r="U161" s="107">
        <f t="shared" si="43"/>
        <v>220841420.89505556</v>
      </c>
      <c r="V161" s="107">
        <f t="shared" si="43"/>
        <v>211627640.49819115</v>
      </c>
      <c r="W161" s="107">
        <f t="shared" si="43"/>
        <v>201476059.5402523</v>
      </c>
      <c r="X161" s="107">
        <f t="shared" si="43"/>
        <v>190285386.78901035</v>
      </c>
      <c r="Y161" s="107">
        <f t="shared" si="43"/>
        <v>178603762.42626911</v>
      </c>
      <c r="Z161" s="107">
        <f t="shared" si="43"/>
        <v>166068569.26916727</v>
      </c>
      <c r="AA161" s="107">
        <f t="shared" si="43"/>
        <v>153148036.97552365</v>
      </c>
      <c r="AB161" s="107">
        <f t="shared" si="43"/>
        <v>140424415.5022628</v>
      </c>
      <c r="AC161" s="107">
        <f t="shared" si="43"/>
        <v>127976192.78317355</v>
      </c>
    </row>
    <row r="162" spans="2:29" ht="15.75">
      <c r="B162" s="182"/>
      <c r="C162" s="449" t="s">
        <v>172</v>
      </c>
      <c r="D162" s="107">
        <f>D154-D157</f>
        <v>-86024224.44158484</v>
      </c>
      <c r="E162" s="107">
        <f t="shared" ref="E162:AC162" si="44">E154-E157</f>
        <v>-79058941.029587746</v>
      </c>
      <c r="F162" s="107">
        <f t="shared" si="44"/>
        <v>-74121301.006783217</v>
      </c>
      <c r="G162" s="107">
        <f t="shared" si="44"/>
        <v>-69031628.382336855</v>
      </c>
      <c r="H162" s="107">
        <f t="shared" si="44"/>
        <v>-64425074.165324152</v>
      </c>
      <c r="I162" s="107">
        <f t="shared" si="44"/>
        <v>-51401597.482880265</v>
      </c>
      <c r="J162" s="107">
        <f t="shared" si="44"/>
        <v>-26678533.689181723</v>
      </c>
      <c r="K162" s="107">
        <f t="shared" si="44"/>
        <v>-21694071.320747651</v>
      </c>
      <c r="L162" s="107">
        <f t="shared" si="44"/>
        <v>-16746499.718355879</v>
      </c>
      <c r="M162" s="107">
        <f t="shared" si="44"/>
        <v>-13647347.296059683</v>
      </c>
      <c r="N162" s="107">
        <f t="shared" si="44"/>
        <v>-6822739.3598979414</v>
      </c>
      <c r="O162" s="107">
        <f t="shared" si="44"/>
        <v>5116063.7785069719</v>
      </c>
      <c r="P162" s="107">
        <f t="shared" si="44"/>
        <v>10290307.298485629</v>
      </c>
      <c r="Q162" s="107">
        <f t="shared" si="44"/>
        <v>15105910.796021558</v>
      </c>
      <c r="R162" s="107">
        <f t="shared" si="44"/>
        <v>19694746.704932295</v>
      </c>
      <c r="S162" s="107">
        <f t="shared" si="44"/>
        <v>24696186.305061221</v>
      </c>
      <c r="T162" s="107">
        <f t="shared" si="44"/>
        <v>76082039.344921917</v>
      </c>
      <c r="U162" s="107">
        <f t="shared" si="44"/>
        <v>73409933.902534172</v>
      </c>
      <c r="V162" s="107">
        <f t="shared" si="44"/>
        <v>70347179.609499171</v>
      </c>
      <c r="W162" s="107">
        <f t="shared" si="44"/>
        <v>66972690.874061041</v>
      </c>
      <c r="X162" s="107">
        <f t="shared" si="44"/>
        <v>63252797.460660376</v>
      </c>
      <c r="Y162" s="107">
        <f t="shared" si="44"/>
        <v>59369706.739420287</v>
      </c>
      <c r="Z162" s="107">
        <f t="shared" si="44"/>
        <v>55202881.071532428</v>
      </c>
      <c r="AA162" s="107">
        <f t="shared" si="44"/>
        <v>50907964.756387614</v>
      </c>
      <c r="AB162" s="107">
        <f t="shared" si="44"/>
        <v>46678503.600199878</v>
      </c>
      <c r="AC162" s="107">
        <f t="shared" si="44"/>
        <v>42540587.790254891</v>
      </c>
    </row>
    <row r="163" spans="2:29" ht="15.75">
      <c r="B163" s="182"/>
      <c r="C163" s="449" t="s">
        <v>169</v>
      </c>
      <c r="D163" s="107">
        <f>D155-D157</f>
        <v>-78591986.97625801</v>
      </c>
      <c r="E163" s="107">
        <f t="shared" ref="E163:AC163" si="45">E155-E157</f>
        <v>-63425293.428852618</v>
      </c>
      <c r="F163" s="107">
        <f t="shared" si="45"/>
        <v>-49394980.22668343</v>
      </c>
      <c r="G163" s="107">
        <f t="shared" si="45"/>
        <v>-34416115.675650403</v>
      </c>
      <c r="H163" s="107">
        <f t="shared" si="45"/>
        <v>-19165627.113763198</v>
      </c>
      <c r="I163" s="107">
        <f t="shared" si="45"/>
        <v>5257303.815404579</v>
      </c>
      <c r="J163" s="107">
        <f t="shared" si="45"/>
        <v>40537740.45635955</v>
      </c>
      <c r="K163" s="107">
        <f t="shared" si="45"/>
        <v>56281982.549516499</v>
      </c>
      <c r="L163" s="107">
        <f t="shared" si="45"/>
        <v>72108802.958491385</v>
      </c>
      <c r="M163" s="107">
        <f t="shared" si="45"/>
        <v>86055716.057041377</v>
      </c>
      <c r="N163" s="107">
        <f t="shared" si="45"/>
        <v>103457357.5786096</v>
      </c>
      <c r="O163" s="107">
        <f t="shared" si="45"/>
        <v>125670075.73948863</v>
      </c>
      <c r="P163" s="107">
        <f t="shared" si="45"/>
        <v>140690999.70158732</v>
      </c>
      <c r="Q163" s="107">
        <f t="shared" si="45"/>
        <v>154944715.40813863</v>
      </c>
      <c r="R163" s="107">
        <f t="shared" si="45"/>
        <v>168385691.93793854</v>
      </c>
      <c r="S163" s="107">
        <f t="shared" si="45"/>
        <v>181693360.16004276</v>
      </c>
      <c r="T163" s="107">
        <f t="shared" si="45"/>
        <v>228880000.02607352</v>
      </c>
      <c r="U163" s="107">
        <f t="shared" si="45"/>
        <v>220841420.89505556</v>
      </c>
      <c r="V163" s="107">
        <f t="shared" si="45"/>
        <v>211627640.49819115</v>
      </c>
      <c r="W163" s="107">
        <f t="shared" si="45"/>
        <v>201476059.5402523</v>
      </c>
      <c r="X163" s="107">
        <f t="shared" si="45"/>
        <v>190285386.78901035</v>
      </c>
      <c r="Y163" s="107">
        <f t="shared" si="45"/>
        <v>178603762.42626911</v>
      </c>
      <c r="Z163" s="107">
        <f t="shared" si="45"/>
        <v>166068569.26916727</v>
      </c>
      <c r="AA163" s="107">
        <f t="shared" si="45"/>
        <v>153148036.97552365</v>
      </c>
      <c r="AB163" s="107">
        <f t="shared" si="45"/>
        <v>140424415.5022628</v>
      </c>
      <c r="AC163" s="107">
        <f t="shared" si="45"/>
        <v>127976192.78317355</v>
      </c>
    </row>
    <row r="164" spans="2:29" ht="15.75">
      <c r="B164" s="182"/>
      <c r="C164" s="449" t="s">
        <v>174</v>
      </c>
      <c r="D164" s="107">
        <f>D154-D158</f>
        <v>-127148149.2543264</v>
      </c>
      <c r="E164" s="107">
        <f t="shared" ref="E164:AC164" si="46">E154-E158</f>
        <v>-118862137.04195325</v>
      </c>
      <c r="F164" s="107">
        <f t="shared" si="46"/>
        <v>-113736505.23160613</v>
      </c>
      <c r="G164" s="107">
        <f t="shared" si="46"/>
        <v>-108570937.50847256</v>
      </c>
      <c r="H164" s="107">
        <f t="shared" si="46"/>
        <v>-104282161.73538727</v>
      </c>
      <c r="I164" s="107">
        <f t="shared" si="46"/>
        <v>-100686159.63136713</v>
      </c>
      <c r="J164" s="107">
        <f t="shared" si="46"/>
        <v>-63912544.035166986</v>
      </c>
      <c r="K164" s="107">
        <f t="shared" si="46"/>
        <v>-59159053.925322644</v>
      </c>
      <c r="L164" s="107">
        <f t="shared" si="46"/>
        <v>-54502116.842413642</v>
      </c>
      <c r="M164" s="107">
        <f t="shared" si="46"/>
        <v>-52828152.538597405</v>
      </c>
      <c r="N164" s="107">
        <f t="shared" si="46"/>
        <v>-45039049.504197165</v>
      </c>
      <c r="O164" s="107">
        <f t="shared" si="46"/>
        <v>-28876387.713987693</v>
      </c>
      <c r="P164" s="107">
        <f t="shared" si="46"/>
        <v>-23534179.387355544</v>
      </c>
      <c r="Q164" s="107">
        <f t="shared" si="46"/>
        <v>-18646689.364835888</v>
      </c>
      <c r="R164" s="107">
        <f t="shared" si="46"/>
        <v>-13945727.130512118</v>
      </c>
      <c r="S164" s="107">
        <f t="shared" si="46"/>
        <v>-8408468.0938585699</v>
      </c>
      <c r="T164" s="107">
        <f t="shared" si="46"/>
        <v>76082039.344921917</v>
      </c>
      <c r="U164" s="107">
        <f t="shared" si="46"/>
        <v>73409933.902534172</v>
      </c>
      <c r="V164" s="107">
        <f t="shared" si="46"/>
        <v>70347179.609499171</v>
      </c>
      <c r="W164" s="107">
        <f t="shared" si="46"/>
        <v>66972690.874061041</v>
      </c>
      <c r="X164" s="107">
        <f t="shared" si="46"/>
        <v>63252797.460660376</v>
      </c>
      <c r="Y164" s="107">
        <f t="shared" si="46"/>
        <v>59369706.739420287</v>
      </c>
      <c r="Z164" s="107">
        <f t="shared" si="46"/>
        <v>55202881.071532428</v>
      </c>
      <c r="AA164" s="107">
        <f t="shared" si="46"/>
        <v>50907964.756387614</v>
      </c>
      <c r="AB164" s="107">
        <f t="shared" si="46"/>
        <v>46678503.600199878</v>
      </c>
      <c r="AC164" s="107">
        <f t="shared" si="46"/>
        <v>42540587.790254891</v>
      </c>
    </row>
    <row r="165" spans="2:29" ht="15.75">
      <c r="B165" s="182"/>
      <c r="C165" s="449" t="s">
        <v>173</v>
      </c>
      <c r="D165" s="107">
        <f>D155-D158</f>
        <v>-119715911.78899957</v>
      </c>
      <c r="E165" s="107">
        <f t="shared" ref="E165:AC165" si="47">E155-E158</f>
        <v>-103228489.44121812</v>
      </c>
      <c r="F165" s="107">
        <f t="shared" si="47"/>
        <v>-89010184.451506346</v>
      </c>
      <c r="G165" s="107">
        <f t="shared" si="47"/>
        <v>-73955424.80178611</v>
      </c>
      <c r="H165" s="107">
        <f t="shared" si="47"/>
        <v>-59022714.683826312</v>
      </c>
      <c r="I165" s="107">
        <f t="shared" si="47"/>
        <v>-44027258.333082289</v>
      </c>
      <c r="J165" s="107">
        <f t="shared" si="47"/>
        <v>3303730.1103742868</v>
      </c>
      <c r="K165" s="107">
        <f t="shared" si="47"/>
        <v>18816999.944941506</v>
      </c>
      <c r="L165" s="107">
        <f t="shared" si="47"/>
        <v>34353185.83443363</v>
      </c>
      <c r="M165" s="107">
        <f t="shared" si="47"/>
        <v>46874910.814503655</v>
      </c>
      <c r="N165" s="107">
        <f t="shared" si="47"/>
        <v>65241047.434310377</v>
      </c>
      <c r="O165" s="107">
        <f t="shared" si="47"/>
        <v>91677624.246993959</v>
      </c>
      <c r="P165" s="107">
        <f t="shared" si="47"/>
        <v>106866513.01574613</v>
      </c>
      <c r="Q165" s="107">
        <f t="shared" si="47"/>
        <v>121192115.24728119</v>
      </c>
      <c r="R165" s="107">
        <f t="shared" si="47"/>
        <v>134745218.10249412</v>
      </c>
      <c r="S165" s="107">
        <f t="shared" si="47"/>
        <v>148588705.761123</v>
      </c>
      <c r="T165" s="107">
        <f t="shared" si="47"/>
        <v>228880000.02607352</v>
      </c>
      <c r="U165" s="107">
        <f t="shared" si="47"/>
        <v>220841420.89505556</v>
      </c>
      <c r="V165" s="107">
        <f t="shared" si="47"/>
        <v>211627640.49819115</v>
      </c>
      <c r="W165" s="107">
        <f t="shared" si="47"/>
        <v>201476059.5402523</v>
      </c>
      <c r="X165" s="107">
        <f t="shared" si="47"/>
        <v>190285386.78901035</v>
      </c>
      <c r="Y165" s="107">
        <f t="shared" si="47"/>
        <v>178603762.42626911</v>
      </c>
      <c r="Z165" s="107">
        <f t="shared" si="47"/>
        <v>166068569.26916727</v>
      </c>
      <c r="AA165" s="107">
        <f t="shared" si="47"/>
        <v>153148036.97552365</v>
      </c>
      <c r="AB165" s="107">
        <f t="shared" si="47"/>
        <v>140424415.5022628</v>
      </c>
      <c r="AC165" s="107">
        <f t="shared" si="47"/>
        <v>127976192.78317355</v>
      </c>
    </row>
    <row r="166" spans="2:29" ht="15.75">
      <c r="B166" s="182"/>
      <c r="C166" s="449" t="s">
        <v>175</v>
      </c>
      <c r="D166" s="107">
        <f>D154-D159</f>
        <v>-145840842.3510271</v>
      </c>
      <c r="E166" s="107">
        <f t="shared" ref="E166:AC166" si="48">E154-E159</f>
        <v>-136954498.86575574</v>
      </c>
      <c r="F166" s="107">
        <f t="shared" si="48"/>
        <v>-131743416.24288927</v>
      </c>
      <c r="G166" s="107">
        <f t="shared" si="48"/>
        <v>-126543350.74762517</v>
      </c>
      <c r="H166" s="107">
        <f t="shared" si="48"/>
        <v>-122399019.72177958</v>
      </c>
      <c r="I166" s="107">
        <f t="shared" si="48"/>
        <v>-104477279.79663537</v>
      </c>
      <c r="J166" s="107">
        <f t="shared" si="48"/>
        <v>-66776698.677165858</v>
      </c>
      <c r="K166" s="107">
        <f t="shared" si="48"/>
        <v>-62040975.664136119</v>
      </c>
      <c r="L166" s="107">
        <f t="shared" si="48"/>
        <v>-57406395.082725786</v>
      </c>
      <c r="M166" s="107">
        <f t="shared" si="48"/>
        <v>-55842060.634177223</v>
      </c>
      <c r="N166" s="107">
        <f t="shared" si="48"/>
        <v>-47978765.669143274</v>
      </c>
      <c r="O166" s="107">
        <f t="shared" si="48"/>
        <v>-31491191.674948826</v>
      </c>
      <c r="P166" s="107">
        <f t="shared" si="48"/>
        <v>-26136062.978574105</v>
      </c>
      <c r="Q166" s="107">
        <f t="shared" si="48"/>
        <v>-21243043.223363385</v>
      </c>
      <c r="R166" s="107">
        <f t="shared" si="48"/>
        <v>-16533455.887084767</v>
      </c>
      <c r="S166" s="107">
        <f t="shared" si="48"/>
        <v>-10954979.970698565</v>
      </c>
      <c r="T166" s="107">
        <f t="shared" si="48"/>
        <v>76082039.344921917</v>
      </c>
      <c r="U166" s="107">
        <f t="shared" si="48"/>
        <v>73409933.902534172</v>
      </c>
      <c r="V166" s="107">
        <f t="shared" si="48"/>
        <v>70347179.609499171</v>
      </c>
      <c r="W166" s="107">
        <f t="shared" si="48"/>
        <v>66972690.874061041</v>
      </c>
      <c r="X166" s="107">
        <f t="shared" si="48"/>
        <v>63252797.460660376</v>
      </c>
      <c r="Y166" s="107">
        <f t="shared" si="48"/>
        <v>59369706.739420287</v>
      </c>
      <c r="Z166" s="107">
        <f t="shared" si="48"/>
        <v>55202881.071532428</v>
      </c>
      <c r="AA166" s="107">
        <f t="shared" si="48"/>
        <v>50907964.756387614</v>
      </c>
      <c r="AB166" s="107">
        <f t="shared" si="48"/>
        <v>46678503.600199878</v>
      </c>
      <c r="AC166" s="107">
        <f t="shared" si="48"/>
        <v>42540587.790254891</v>
      </c>
    </row>
    <row r="167" spans="2:29" ht="16.5" thickBot="1">
      <c r="B167" s="451"/>
      <c r="C167" s="452" t="s">
        <v>176</v>
      </c>
      <c r="D167" s="400">
        <f>D155-D159</f>
        <v>-138408604.88570029</v>
      </c>
      <c r="E167" s="400">
        <f t="shared" ref="E167:AC167" si="49">E155-E159</f>
        <v>-121320851.26502062</v>
      </c>
      <c r="F167" s="400">
        <f t="shared" si="49"/>
        <v>-107017095.46278948</v>
      </c>
      <c r="G167" s="107">
        <f t="shared" si="49"/>
        <v>-91927838.040938705</v>
      </c>
      <c r="H167" s="107">
        <f t="shared" si="49"/>
        <v>-77139572.670218632</v>
      </c>
      <c r="I167" s="107">
        <f t="shared" si="49"/>
        <v>-47818378.498350531</v>
      </c>
      <c r="J167" s="107">
        <f t="shared" si="49"/>
        <v>439575.46837541461</v>
      </c>
      <c r="K167" s="107">
        <f t="shared" si="49"/>
        <v>15935078.206128031</v>
      </c>
      <c r="L167" s="107">
        <f t="shared" si="49"/>
        <v>31448907.594121486</v>
      </c>
      <c r="M167" s="107">
        <f t="shared" si="49"/>
        <v>43861002.718923837</v>
      </c>
      <c r="N167" s="107">
        <f t="shared" si="49"/>
        <v>62301331.269364268</v>
      </c>
      <c r="O167" s="107">
        <f t="shared" si="49"/>
        <v>89062820.286032826</v>
      </c>
      <c r="P167" s="107">
        <f t="shared" si="49"/>
        <v>104264629.42452757</v>
      </c>
      <c r="Q167" s="400">
        <f t="shared" si="49"/>
        <v>118595761.3887537</v>
      </c>
      <c r="R167" s="400">
        <f t="shared" si="49"/>
        <v>132157489.34592149</v>
      </c>
      <c r="S167" s="400">
        <f t="shared" si="49"/>
        <v>146042193.88428301</v>
      </c>
      <c r="T167" s="400">
        <f t="shared" si="49"/>
        <v>228880000.02607352</v>
      </c>
      <c r="U167" s="400">
        <f t="shared" si="49"/>
        <v>220841420.89505556</v>
      </c>
      <c r="V167" s="400">
        <f t="shared" si="49"/>
        <v>211627640.49819115</v>
      </c>
      <c r="W167" s="400">
        <f t="shared" si="49"/>
        <v>201476059.5402523</v>
      </c>
      <c r="X167" s="400">
        <f t="shared" si="49"/>
        <v>190285386.78901035</v>
      </c>
      <c r="Y167" s="400">
        <f t="shared" si="49"/>
        <v>178603762.42626911</v>
      </c>
      <c r="Z167" s="400">
        <f t="shared" si="49"/>
        <v>166068569.26916727</v>
      </c>
      <c r="AA167" s="400">
        <f t="shared" si="49"/>
        <v>153148036.97552365</v>
      </c>
      <c r="AB167" s="400">
        <f t="shared" si="49"/>
        <v>140424415.5022628</v>
      </c>
      <c r="AC167" s="400">
        <f t="shared" si="49"/>
        <v>127976192.78317355</v>
      </c>
    </row>
    <row r="168" spans="2:29" ht="19.5" thickBot="1">
      <c r="B168" s="635" t="s">
        <v>177</v>
      </c>
      <c r="C168" s="454"/>
      <c r="D168" s="457" t="s">
        <v>47</v>
      </c>
      <c r="E168" s="457" t="s">
        <v>72</v>
      </c>
      <c r="F168" s="457" t="s">
        <v>71</v>
      </c>
      <c r="G168" s="642" t="s">
        <v>233</v>
      </c>
      <c r="H168" s="590"/>
      <c r="I168" s="566" t="s">
        <v>245</v>
      </c>
      <c r="J168" s="559"/>
      <c r="K168" s="559"/>
      <c r="L168" s="569" t="s">
        <v>246</v>
      </c>
      <c r="M168" s="556"/>
      <c r="N168" s="556"/>
      <c r="O168" s="556"/>
      <c r="P168" s="556"/>
      <c r="Q168" s="557"/>
      <c r="T168" s="508" t="s">
        <v>221</v>
      </c>
      <c r="U168" s="508" t="s">
        <v>222</v>
      </c>
      <c r="V168" s="508" t="s">
        <v>223</v>
      </c>
      <c r="W168" s="508" t="s">
        <v>224</v>
      </c>
      <c r="X168" s="508" t="s">
        <v>225</v>
      </c>
      <c r="Y168" s="536" t="s">
        <v>226</v>
      </c>
      <c r="Z168" s="114"/>
      <c r="AA168" s="114"/>
      <c r="AB168" s="114"/>
      <c r="AC168" s="114"/>
    </row>
    <row r="169" spans="2:29" ht="19.5" thickBot="1">
      <c r="B169" s="476"/>
      <c r="C169" s="455" t="s">
        <v>181</v>
      </c>
      <c r="D169" s="473">
        <f t="shared" ref="D169:D176" si="50">NPV(10%,E160:AC160)+D160</f>
        <v>-222230101.31500623</v>
      </c>
      <c r="E169" s="473">
        <f t="shared" ref="E169:E176" si="51">NPV(6%,E160:AC160)+D160</f>
        <v>-144830641.7072435</v>
      </c>
      <c r="F169" s="473">
        <f>NPV(3%,E160:AC160)+D160</f>
        <v>-14262771.148990445</v>
      </c>
      <c r="G169" s="522">
        <f>NPV(0%,E160:AC160)+D160</f>
        <v>243349713.08876124</v>
      </c>
      <c r="I169" s="558" t="s">
        <v>179</v>
      </c>
      <c r="J169" s="559" t="s">
        <v>215</v>
      </c>
      <c r="K169" s="559" t="s">
        <v>216</v>
      </c>
      <c r="L169" s="567" t="s">
        <v>178</v>
      </c>
      <c r="M169" s="568" t="s">
        <v>180</v>
      </c>
      <c r="N169" s="568" t="s">
        <v>217</v>
      </c>
      <c r="O169" s="568" t="s">
        <v>218</v>
      </c>
      <c r="P169" s="568" t="s">
        <v>219</v>
      </c>
      <c r="Q169" s="509" t="s">
        <v>220</v>
      </c>
      <c r="S169" s="505" t="s">
        <v>161</v>
      </c>
      <c r="T169" s="483">
        <f>L170/I170</f>
        <v>0.61951560436866515</v>
      </c>
      <c r="U169" s="484">
        <f>M170/I170</f>
        <v>1.8637083438473465</v>
      </c>
      <c r="V169" s="485">
        <f>N170/J170</f>
        <v>0.79619222743539564</v>
      </c>
      <c r="W169" s="483">
        <f>O170/J170</f>
        <v>2.3952102047371837</v>
      </c>
      <c r="X169" s="483">
        <f>P170/K170</f>
        <v>0.67172745852460913</v>
      </c>
      <c r="Y169" s="483">
        <f>K170/Q170</f>
        <v>0.49485868732971983</v>
      </c>
      <c r="Z169" s="114"/>
      <c r="AA169" s="114"/>
      <c r="AB169" s="114"/>
      <c r="AC169" s="114"/>
    </row>
    <row r="170" spans="2:29" ht="18.75">
      <c r="B170" s="476"/>
      <c r="C170" s="455" t="s">
        <v>182</v>
      </c>
      <c r="D170" s="473">
        <f t="shared" si="50"/>
        <v>504467449.81833982</v>
      </c>
      <c r="E170" s="473">
        <f t="shared" si="51"/>
        <v>991469494.64122343</v>
      </c>
      <c r="F170" s="473">
        <f t="shared" ref="F170:F176" si="52">NPV(3%,E161:AC161)+D161</f>
        <v>1648701739.2588437</v>
      </c>
      <c r="G170" s="522">
        <f t="shared" ref="G170:G176" si="53">NPV(0%,E161:AC161)+D161</f>
        <v>2782755398.5954123</v>
      </c>
      <c r="H170" s="639" t="s">
        <v>161</v>
      </c>
      <c r="I170" s="563">
        <f>NPV(10%,E156:AC156)+D156</f>
        <v>584071525.31514835</v>
      </c>
      <c r="J170" s="494">
        <f>NPV(6%,E156:AC156)+D156</f>
        <v>710623740.6197772</v>
      </c>
      <c r="K170" s="495">
        <f>NPV(3%,E156:AC156)+D156</f>
        <v>842295624.11405444</v>
      </c>
      <c r="L170" s="560">
        <f>NPV(10%,E154:AC154)+D154</f>
        <v>361841424.00014222</v>
      </c>
      <c r="M170" s="502">
        <f>NPV(10%,E155:AC155)+D155</f>
        <v>1088538975.1334887</v>
      </c>
      <c r="N170" s="491">
        <f>NPV(6%,E154:AC154)+D154</f>
        <v>565793098.91253328</v>
      </c>
      <c r="O170" s="491">
        <f>NPV(6%,E155:AC155)+D155</f>
        <v>1702093235.2609999</v>
      </c>
      <c r="P170" s="492">
        <f>NPV(6%,E154:AC154)+D154</f>
        <v>565793098.91253328</v>
      </c>
      <c r="Q170" s="491">
        <f>NPV(6%,E155:AC155)+D155</f>
        <v>1702093235.2609999</v>
      </c>
      <c r="S170" s="506" t="s">
        <v>162</v>
      </c>
      <c r="T170" s="483">
        <f>L170/I171</f>
        <v>0.56767118558323004</v>
      </c>
      <c r="U170" s="484">
        <f>M170/I171</f>
        <v>1.7077431426627891</v>
      </c>
      <c r="V170" s="485">
        <f>N170/J171</f>
        <v>0.73457981924388538</v>
      </c>
      <c r="W170" s="483">
        <f>O170/J171</f>
        <v>2.2098596527554228</v>
      </c>
      <c r="X170" s="483">
        <f>P170/K171</f>
        <v>0.62316242937745936</v>
      </c>
      <c r="Y170" s="483">
        <f>K171/Q170</f>
        <v>0.53342459798305786</v>
      </c>
      <c r="Z170" s="114"/>
      <c r="AA170" s="114"/>
      <c r="AB170" s="114"/>
      <c r="AC170" s="114"/>
    </row>
    <row r="171" spans="2:29" ht="18.75">
      <c r="B171" s="476"/>
      <c r="C171" s="455" t="s">
        <v>183</v>
      </c>
      <c r="D171" s="473">
        <f t="shared" si="50"/>
        <v>-275572334.50934315</v>
      </c>
      <c r="E171" s="473">
        <f t="shared" si="51"/>
        <v>-204433749.26703292</v>
      </c>
      <c r="F171" s="473">
        <f t="shared" si="52"/>
        <v>-79905546.783717349</v>
      </c>
      <c r="G171" s="522">
        <f t="shared" si="53"/>
        <v>170015542.13973957</v>
      </c>
      <c r="H171" s="640" t="s">
        <v>162</v>
      </c>
      <c r="I171" s="564">
        <f>NPV(10%,E157:AC157)+D157</f>
        <v>637413758.50948536</v>
      </c>
      <c r="J171" s="497">
        <f>NPV(6%,E157:AC157)+D157</f>
        <v>770226848.17956614</v>
      </c>
      <c r="K171" s="498">
        <f>NPV(3%,E157:AC157)+D157</f>
        <v>907938399.7487812</v>
      </c>
      <c r="L171" s="561"/>
      <c r="M171" s="503"/>
      <c r="N171" s="503"/>
      <c r="O171" s="503"/>
      <c r="P171" s="503"/>
      <c r="Q171" s="503"/>
      <c r="S171" s="506" t="s">
        <v>163</v>
      </c>
      <c r="T171" s="483">
        <f>L170/I172</f>
        <v>0.37170936262119902</v>
      </c>
      <c r="U171" s="484">
        <f>M170/I172</f>
        <v>1.1182250063084078</v>
      </c>
      <c r="V171" s="485">
        <f>N170/J172</f>
        <v>0.47771533646123759</v>
      </c>
      <c r="W171" s="483">
        <f>O170/J172</f>
        <v>1.4371261228423107</v>
      </c>
      <c r="X171" s="483">
        <f>P170/K172</f>
        <v>0.40303647511476554</v>
      </c>
      <c r="Y171" s="483">
        <f>K172/Q170</f>
        <v>0.82476447888286641</v>
      </c>
      <c r="Z171" s="114"/>
      <c r="AA171" s="114"/>
      <c r="AB171" s="114"/>
      <c r="AC171" s="114"/>
    </row>
    <row r="172" spans="2:29" ht="19.5" thickBot="1">
      <c r="B172" s="476"/>
      <c r="C172" s="455" t="s">
        <v>184</v>
      </c>
      <c r="D172" s="473">
        <f t="shared" si="50"/>
        <v>451125216.62400293</v>
      </c>
      <c r="E172" s="473">
        <f t="shared" si="51"/>
        <v>931866387.08143413</v>
      </c>
      <c r="F172" s="473">
        <f t="shared" si="52"/>
        <v>1583058963.6241164</v>
      </c>
      <c r="G172" s="522">
        <f t="shared" si="53"/>
        <v>2709421227.6463904</v>
      </c>
      <c r="H172" s="640" t="s">
        <v>163</v>
      </c>
      <c r="I172" s="564">
        <f>NPV(10%,E158:AC158)+D158</f>
        <v>973452542.19191396</v>
      </c>
      <c r="J172" s="497">
        <f>NPV(6%,E158:AC158)+D158</f>
        <v>1184372901.0329616</v>
      </c>
      <c r="K172" s="498">
        <f>NPV(3%,E158:AC158)+D158</f>
        <v>1403826040.1900907</v>
      </c>
      <c r="L172" s="561"/>
      <c r="M172" s="503"/>
      <c r="N172" s="503"/>
      <c r="O172" s="503"/>
      <c r="P172" s="503"/>
      <c r="Q172" s="503"/>
      <c r="S172" s="507" t="s">
        <v>164</v>
      </c>
      <c r="T172" s="487">
        <f>L170/I173</f>
        <v>0.34060271134993791</v>
      </c>
      <c r="U172" s="488">
        <f>M170/I173</f>
        <v>1.0246458855976732</v>
      </c>
      <c r="V172" s="489">
        <f>N170/J173</f>
        <v>0.44074789154633115</v>
      </c>
      <c r="W172" s="487">
        <f>O170/J173</f>
        <v>1.3259157916532534</v>
      </c>
      <c r="X172" s="487">
        <f>Q170/K173</f>
        <v>1.1248075215666313</v>
      </c>
      <c r="Y172" s="487">
        <f>K173/Q170</f>
        <v>0.88904099663842973</v>
      </c>
      <c r="Z172" s="114"/>
      <c r="AA172" s="114"/>
      <c r="AB172" s="114"/>
      <c r="AC172" s="114"/>
    </row>
    <row r="173" spans="2:29" ht="19.5" thickBot="1">
      <c r="B173" s="476"/>
      <c r="C173" s="455" t="s">
        <v>185</v>
      </c>
      <c r="D173" s="473">
        <f t="shared" si="50"/>
        <v>-611611118.19177163</v>
      </c>
      <c r="E173" s="473">
        <f t="shared" si="51"/>
        <v>-618579802.12042844</v>
      </c>
      <c r="F173" s="473">
        <f t="shared" si="52"/>
        <v>-575793187.22502661</v>
      </c>
      <c r="G173" s="522">
        <f t="shared" si="53"/>
        <v>-437374133.78988874</v>
      </c>
      <c r="H173" s="641" t="s">
        <v>164</v>
      </c>
      <c r="I173" s="565">
        <f>NPV(10%,E159:AC159)+D159</f>
        <v>1062356264.1824758</v>
      </c>
      <c r="J173" s="500">
        <f>NPV(6%,E159:AC159)+D159</f>
        <v>1283711413.6326106</v>
      </c>
      <c r="K173" s="501">
        <f>NPV(3%,E159:AC159)+D159</f>
        <v>1513230666.2479687</v>
      </c>
      <c r="L173" s="562"/>
      <c r="M173" s="504"/>
      <c r="N173" s="504"/>
      <c r="O173" s="504"/>
      <c r="P173" s="504"/>
      <c r="Q173" s="504"/>
      <c r="R173" s="114"/>
      <c r="S173" s="114"/>
      <c r="T173" s="114"/>
      <c r="U173" s="114"/>
      <c r="V173" s="114"/>
      <c r="W173" s="114"/>
      <c r="X173" s="114"/>
      <c r="Y173" s="114"/>
      <c r="Z173" s="114"/>
      <c r="AA173" s="114"/>
      <c r="AB173" s="114"/>
      <c r="AC173" s="114"/>
    </row>
    <row r="174" spans="2:29" ht="18.75">
      <c r="B174" s="476"/>
      <c r="C174" s="455" t="s">
        <v>186</v>
      </c>
      <c r="D174" s="473">
        <f t="shared" si="50"/>
        <v>115086432.94157447</v>
      </c>
      <c r="E174" s="473">
        <f t="shared" si="51"/>
        <v>517720334.22803879</v>
      </c>
      <c r="F174" s="473">
        <f t="shared" si="52"/>
        <v>1087171323.1828074</v>
      </c>
      <c r="G174" s="522">
        <f t="shared" si="53"/>
        <v>2102031551.7167621</v>
      </c>
      <c r="H174" s="481"/>
      <c r="I174" s="296"/>
      <c r="J174" s="480"/>
      <c r="K174" s="480"/>
      <c r="L174" s="112"/>
      <c r="M174" s="112"/>
      <c r="N174" s="112"/>
      <c r="O174" s="112"/>
      <c r="P174" s="112"/>
      <c r="Q174" s="114"/>
      <c r="R174" s="114"/>
      <c r="S174" s="114"/>
      <c r="T174" s="114"/>
      <c r="U174" s="114"/>
      <c r="V174" s="114"/>
      <c r="W174" s="114"/>
      <c r="X174" s="114"/>
      <c r="Y174" s="114"/>
      <c r="Z174" s="114"/>
      <c r="AA174" s="114"/>
      <c r="AB174" s="114"/>
      <c r="AC174" s="114"/>
    </row>
    <row r="175" spans="2:29" ht="18.75">
      <c r="B175" s="476"/>
      <c r="C175" s="455" t="s">
        <v>187</v>
      </c>
      <c r="D175" s="473">
        <f t="shared" si="50"/>
        <v>-700514840.18233335</v>
      </c>
      <c r="E175" s="473">
        <f t="shared" si="51"/>
        <v>-717918314.7200774</v>
      </c>
      <c r="F175" s="473">
        <f t="shared" si="52"/>
        <v>-685197813.28290474</v>
      </c>
      <c r="G175" s="522">
        <f t="shared" si="53"/>
        <v>-559597752.03825855</v>
      </c>
      <c r="H175" s="481"/>
      <c r="I175" s="296"/>
      <c r="J175" s="480"/>
      <c r="K175" s="480"/>
      <c r="L175" s="112"/>
      <c r="M175" s="112"/>
      <c r="N175" s="112"/>
      <c r="O175" s="112"/>
      <c r="P175" s="112"/>
      <c r="Q175" s="114"/>
      <c r="R175" s="114"/>
      <c r="S175" s="114"/>
      <c r="T175" s="114"/>
      <c r="U175" s="114"/>
      <c r="V175" s="114"/>
      <c r="W175" s="114"/>
      <c r="X175" s="114"/>
      <c r="Y175" s="114"/>
      <c r="Z175" s="114"/>
      <c r="AA175" s="114"/>
      <c r="AB175" s="114"/>
      <c r="AC175" s="114"/>
    </row>
    <row r="176" spans="2:29" ht="19.5" thickBot="1">
      <c r="B176" s="636"/>
      <c r="C176" s="456" t="s">
        <v>188</v>
      </c>
      <c r="D176" s="475">
        <f t="shared" si="50"/>
        <v>26182710.95101282</v>
      </c>
      <c r="E176" s="475">
        <f t="shared" si="51"/>
        <v>418381821.62838978</v>
      </c>
      <c r="F176" s="475">
        <f t="shared" si="52"/>
        <v>977766697.12492919</v>
      </c>
      <c r="G176" s="609">
        <f t="shared" si="53"/>
        <v>1979807933.4683924</v>
      </c>
      <c r="H176" s="481"/>
      <c r="I176" s="296"/>
      <c r="J176" s="480"/>
      <c r="K176" s="480"/>
      <c r="L176" s="112"/>
      <c r="M176" s="112"/>
      <c r="N176" s="112"/>
      <c r="O176" s="112"/>
      <c r="P176" s="112"/>
      <c r="Q176" s="114"/>
      <c r="R176" s="114"/>
      <c r="S176" s="114"/>
      <c r="T176" s="114"/>
      <c r="U176" s="114"/>
      <c r="V176" s="114"/>
      <c r="W176" s="114"/>
      <c r="X176" s="114"/>
      <c r="Y176" s="114"/>
      <c r="Z176" s="114"/>
      <c r="AA176" s="114"/>
      <c r="AB176" s="114"/>
      <c r="AC176" s="114"/>
    </row>
    <row r="177" spans="2:34" ht="16.5" thickBot="1">
      <c r="J177" s="512"/>
      <c r="K177" s="478"/>
      <c r="L177" s="478"/>
      <c r="M177" s="478"/>
      <c r="N177" s="117"/>
      <c r="O177" s="117"/>
      <c r="P177" s="512"/>
      <c r="Q177" s="478"/>
      <c r="R177" s="478"/>
      <c r="S177" s="478"/>
      <c r="T177" s="117"/>
      <c r="U177" s="117"/>
      <c r="V177" s="117"/>
      <c r="W177" s="117"/>
      <c r="X177" s="117"/>
      <c r="Y177" s="117"/>
      <c r="Z177" s="112"/>
      <c r="AA177" s="512"/>
      <c r="AB177" s="480"/>
      <c r="AC177" s="481"/>
      <c r="AD177" s="482"/>
      <c r="AE177" s="480"/>
      <c r="AF177" s="480"/>
      <c r="AG177" s="480"/>
      <c r="AH177" s="112"/>
    </row>
    <row r="178" spans="2:34" ht="24" thickBot="1">
      <c r="B178" s="285" t="s">
        <v>255</v>
      </c>
      <c r="C178" s="286"/>
      <c r="D178" s="284"/>
      <c r="E178" s="284"/>
      <c r="F178" s="282"/>
      <c r="G178" s="282"/>
      <c r="H178" s="282"/>
      <c r="I178" s="282"/>
      <c r="J178" s="512"/>
      <c r="K178" s="478"/>
      <c r="L178" s="478"/>
      <c r="M178" s="478"/>
      <c r="N178" s="117"/>
      <c r="O178" s="117"/>
      <c r="P178" s="512"/>
      <c r="Q178" s="478"/>
      <c r="R178" s="478"/>
      <c r="S178" s="478"/>
      <c r="T178" s="117"/>
      <c r="U178" s="117"/>
      <c r="V178" s="117"/>
      <c r="W178" s="117"/>
      <c r="X178" s="117"/>
      <c r="Y178" s="117"/>
      <c r="Z178" s="112"/>
      <c r="AA178" s="512"/>
      <c r="AB178" s="480"/>
      <c r="AC178" s="481"/>
      <c r="AD178" s="482"/>
      <c r="AE178" s="480"/>
      <c r="AF178" s="480"/>
      <c r="AG178" s="480"/>
      <c r="AH178" s="112"/>
    </row>
    <row r="179" spans="2:34" ht="19.5" thickBot="1">
      <c r="B179" s="108"/>
      <c r="C179" s="98"/>
      <c r="D179" s="98">
        <v>2015</v>
      </c>
      <c r="J179" s="512"/>
      <c r="K179" s="478"/>
      <c r="L179" s="478"/>
      <c r="M179" s="478"/>
      <c r="N179" s="117"/>
      <c r="O179" s="117"/>
      <c r="P179" s="117"/>
      <c r="Q179" s="117"/>
      <c r="R179" s="117"/>
      <c r="S179" s="117"/>
      <c r="T179" s="112"/>
      <c r="U179" s="512"/>
      <c r="V179" s="480"/>
      <c r="W179" s="481"/>
      <c r="X179" s="482"/>
      <c r="Y179" s="480"/>
      <c r="Z179" s="480"/>
      <c r="AA179" s="480"/>
      <c r="AB179" s="112"/>
      <c r="AC179" s="112"/>
      <c r="AD179" s="112"/>
      <c r="AE179" s="112"/>
      <c r="AF179" s="112"/>
      <c r="AG179" s="112"/>
      <c r="AH179" s="112"/>
    </row>
    <row r="180" spans="2:34" ht="18.75">
      <c r="B180" s="110" t="s">
        <v>44</v>
      </c>
      <c r="C180" s="93"/>
      <c r="D180" s="93">
        <v>1</v>
      </c>
      <c r="E180" s="93">
        <v>2</v>
      </c>
      <c r="F180" s="93">
        <v>3</v>
      </c>
      <c r="G180" s="93">
        <v>4</v>
      </c>
      <c r="H180" s="93">
        <v>5</v>
      </c>
      <c r="I180" s="93">
        <v>6</v>
      </c>
      <c r="J180" s="511">
        <v>7</v>
      </c>
      <c r="K180" s="511">
        <v>8</v>
      </c>
      <c r="L180" s="511">
        <v>9</v>
      </c>
      <c r="M180" s="511">
        <v>10</v>
      </c>
      <c r="N180" s="511">
        <v>11</v>
      </c>
      <c r="O180" s="511">
        <v>12</v>
      </c>
      <c r="P180" s="511">
        <v>13</v>
      </c>
      <c r="Q180" s="511">
        <v>14</v>
      </c>
      <c r="R180" s="511">
        <v>15</v>
      </c>
      <c r="S180" s="511">
        <v>16</v>
      </c>
      <c r="T180" s="511">
        <v>17</v>
      </c>
      <c r="U180" s="511">
        <v>18</v>
      </c>
      <c r="V180" s="511">
        <v>19</v>
      </c>
      <c r="W180" s="511">
        <v>20</v>
      </c>
      <c r="X180" s="511">
        <v>21</v>
      </c>
      <c r="Y180" s="511">
        <v>22</v>
      </c>
      <c r="Z180" s="511">
        <v>23</v>
      </c>
      <c r="AA180" s="511">
        <v>24</v>
      </c>
      <c r="AB180" s="511">
        <v>25</v>
      </c>
      <c r="AC180" s="511">
        <v>26</v>
      </c>
    </row>
    <row r="181" spans="2:34" ht="15.75">
      <c r="B181" s="95" t="s">
        <v>248</v>
      </c>
      <c r="C181" s="96"/>
      <c r="D181" s="96"/>
      <c r="E181" s="96"/>
      <c r="F181" s="96"/>
      <c r="G181" s="96"/>
      <c r="H181" s="96"/>
      <c r="I181" s="96"/>
      <c r="J181" s="96"/>
      <c r="K181" s="96"/>
      <c r="L181" s="96"/>
      <c r="M181" s="105"/>
      <c r="N181" s="101"/>
      <c r="O181" s="101"/>
      <c r="P181" s="102"/>
      <c r="Q181" s="102"/>
      <c r="R181" s="102"/>
      <c r="S181" s="102"/>
      <c r="T181" s="102"/>
      <c r="U181" s="102"/>
      <c r="V181" s="102"/>
      <c r="W181" s="102"/>
      <c r="X181" s="102"/>
      <c r="Y181" s="102"/>
      <c r="Z181" s="102"/>
      <c r="AA181" s="102"/>
      <c r="AB181" s="102"/>
      <c r="AC181" s="102"/>
    </row>
    <row r="182" spans="2:34" ht="15.75">
      <c r="B182" s="100" t="s">
        <v>50</v>
      </c>
      <c r="C182" s="453" t="s">
        <v>156</v>
      </c>
      <c r="D182" s="106">
        <f t="shared" ref="D182:AC182" si="54">(D51-D55)*$C$42</f>
        <v>4403733.4505332168</v>
      </c>
      <c r="E182" s="106">
        <f t="shared" si="54"/>
        <v>8992568.6489226483</v>
      </c>
      <c r="F182" s="106">
        <f t="shared" si="54"/>
        <v>13801055.948415037</v>
      </c>
      <c r="G182" s="106">
        <f t="shared" si="54"/>
        <v>18660874.596194714</v>
      </c>
      <c r="H182" s="106">
        <f t="shared" si="54"/>
        <v>23550797.986892931</v>
      </c>
      <c r="I182" s="106">
        <f t="shared" si="54"/>
        <v>28651027.8540859</v>
      </c>
      <c r="J182" s="106">
        <f t="shared" si="54"/>
        <v>33468713.792794488</v>
      </c>
      <c r="K182" s="106">
        <f t="shared" si="54"/>
        <v>38826285.194335066</v>
      </c>
      <c r="L182" s="106">
        <f t="shared" si="54"/>
        <v>44243343.328198992</v>
      </c>
      <c r="M182" s="106">
        <f t="shared" si="54"/>
        <v>49644722.711116657</v>
      </c>
      <c r="N182" s="106">
        <f t="shared" si="54"/>
        <v>54911300.103970066</v>
      </c>
      <c r="O182" s="106">
        <f t="shared" si="54"/>
        <v>60026946.958690688</v>
      </c>
      <c r="P182" s="106">
        <f t="shared" si="54"/>
        <v>64929862.714075245</v>
      </c>
      <c r="Q182" s="106">
        <f t="shared" si="54"/>
        <v>69629341.825098991</v>
      </c>
      <c r="R182" s="106">
        <f t="shared" si="54"/>
        <v>74037050.592957899</v>
      </c>
      <c r="S182" s="106">
        <f t="shared" si="54"/>
        <v>78172935.718700901</v>
      </c>
      <c r="T182" s="106">
        <f t="shared" si="54"/>
        <v>76082039.344921917</v>
      </c>
      <c r="U182" s="106">
        <f t="shared" si="54"/>
        <v>73409933.902534172</v>
      </c>
      <c r="V182" s="106">
        <f t="shared" si="54"/>
        <v>70347179.609499171</v>
      </c>
      <c r="W182" s="106">
        <f t="shared" si="54"/>
        <v>66972690.874061041</v>
      </c>
      <c r="X182" s="106">
        <f t="shared" si="54"/>
        <v>63252797.460660376</v>
      </c>
      <c r="Y182" s="106">
        <f t="shared" si="54"/>
        <v>59369706.739420287</v>
      </c>
      <c r="Z182" s="106">
        <f t="shared" si="54"/>
        <v>55202881.071532428</v>
      </c>
      <c r="AA182" s="106">
        <f t="shared" si="54"/>
        <v>50907964.756387614</v>
      </c>
      <c r="AB182" s="106">
        <f t="shared" si="54"/>
        <v>46678503.600199878</v>
      </c>
      <c r="AC182" s="106">
        <f t="shared" si="54"/>
        <v>42540587.790254891</v>
      </c>
    </row>
    <row r="183" spans="2:34" ht="15.75">
      <c r="B183" s="100"/>
      <c r="C183" s="453" t="s">
        <v>155</v>
      </c>
      <c r="D183" s="106">
        <f t="shared" ref="D183:AC183" si="55">(D51-D55)*$D$42</f>
        <v>13247890.316180615</v>
      </c>
      <c r="E183" s="106">
        <f t="shared" si="55"/>
        <v>27052628.062042862</v>
      </c>
      <c r="F183" s="106">
        <f t="shared" si="55"/>
        <v>41518152.155629732</v>
      </c>
      <c r="G183" s="106">
        <f t="shared" si="55"/>
        <v>56138097.964229651</v>
      </c>
      <c r="H183" s="106">
        <f t="shared" si="55"/>
        <v>70848608.821023688</v>
      </c>
      <c r="I183" s="106">
        <f t="shared" si="55"/>
        <v>86191791.288095951</v>
      </c>
      <c r="J183" s="106">
        <f t="shared" si="55"/>
        <v>100684987.93833576</v>
      </c>
      <c r="K183" s="106">
        <f t="shared" si="55"/>
        <v>116802339.06459922</v>
      </c>
      <c r="L183" s="106">
        <f t="shared" si="55"/>
        <v>133098646.00504626</v>
      </c>
      <c r="M183" s="106">
        <f t="shared" si="55"/>
        <v>149347786.06421772</v>
      </c>
      <c r="N183" s="106">
        <f t="shared" si="55"/>
        <v>165191397.04247761</v>
      </c>
      <c r="O183" s="106">
        <f t="shared" si="55"/>
        <v>180580958.91967234</v>
      </c>
      <c r="P183" s="106">
        <f t="shared" si="55"/>
        <v>195330555.11717692</v>
      </c>
      <c r="Q183" s="106">
        <f t="shared" si="55"/>
        <v>209468146.43721607</v>
      </c>
      <c r="R183" s="106">
        <f t="shared" si="55"/>
        <v>222727995.82596415</v>
      </c>
      <c r="S183" s="106">
        <f t="shared" si="55"/>
        <v>235170109.57368246</v>
      </c>
      <c r="T183" s="106">
        <f t="shared" si="55"/>
        <v>228880000.02607352</v>
      </c>
      <c r="U183" s="106">
        <f t="shared" si="55"/>
        <v>220841420.89505556</v>
      </c>
      <c r="V183" s="106">
        <f t="shared" si="55"/>
        <v>211627640.49819115</v>
      </c>
      <c r="W183" s="106">
        <f t="shared" si="55"/>
        <v>201476059.5402523</v>
      </c>
      <c r="X183" s="106">
        <f t="shared" si="55"/>
        <v>190285386.78901035</v>
      </c>
      <c r="Y183" s="106">
        <f t="shared" si="55"/>
        <v>178603762.42626911</v>
      </c>
      <c r="Z183" s="106">
        <f t="shared" si="55"/>
        <v>166068569.26916727</v>
      </c>
      <c r="AA183" s="106">
        <f t="shared" si="55"/>
        <v>153148036.97552365</v>
      </c>
      <c r="AB183" s="106">
        <f t="shared" si="55"/>
        <v>140424415.5022628</v>
      </c>
      <c r="AC183" s="106">
        <f t="shared" si="55"/>
        <v>127976192.78317355</v>
      </c>
    </row>
    <row r="184" spans="2:34" ht="15.75">
      <c r="B184" s="97" t="s">
        <v>45</v>
      </c>
      <c r="C184" s="448" t="s">
        <v>161</v>
      </c>
      <c r="D184" s="109">
        <f t="shared" ref="D184:AC184" si="56">D50*D87</f>
        <v>193002056.22343481</v>
      </c>
      <c r="E184" s="109">
        <f t="shared" si="56"/>
        <v>174138982.55409908</v>
      </c>
      <c r="F184" s="109">
        <f t="shared" si="56"/>
        <v>157560471.34872749</v>
      </c>
      <c r="G184" s="109">
        <f t="shared" si="56"/>
        <v>135242409.62462324</v>
      </c>
      <c r="H184" s="109">
        <f t="shared" si="56"/>
        <v>110965755.16665295</v>
      </c>
      <c r="I184" s="109">
        <f t="shared" si="56"/>
        <v>90228659.933383703</v>
      </c>
      <c r="J184" s="109">
        <f t="shared" si="56"/>
        <v>58428754.696776889</v>
      </c>
      <c r="K184" s="109">
        <f t="shared" si="56"/>
        <v>58791203.471794635</v>
      </c>
      <c r="L184" s="109">
        <f t="shared" si="56"/>
        <v>59247276.102367587</v>
      </c>
      <c r="M184" s="109">
        <f t="shared" si="56"/>
        <v>61483725.149828441</v>
      </c>
      <c r="N184" s="109">
        <f t="shared" si="56"/>
        <v>59970209.764900342</v>
      </c>
      <c r="O184" s="109">
        <f t="shared" si="56"/>
        <v>53342000.803607039</v>
      </c>
      <c r="P184" s="109">
        <f t="shared" si="56"/>
        <v>53078425.260858484</v>
      </c>
      <c r="Q184" s="109">
        <f t="shared" si="56"/>
        <v>52965618.713960931</v>
      </c>
      <c r="R184" s="109">
        <f t="shared" si="56"/>
        <v>52789666.634082012</v>
      </c>
      <c r="S184" s="109">
        <f t="shared" si="56"/>
        <v>51948842.28753569</v>
      </c>
      <c r="T184" s="109">
        <f t="shared" si="56"/>
        <v>0</v>
      </c>
      <c r="U184" s="109">
        <f t="shared" si="56"/>
        <v>0</v>
      </c>
      <c r="V184" s="109">
        <f t="shared" si="56"/>
        <v>0</v>
      </c>
      <c r="W184" s="109">
        <f t="shared" si="56"/>
        <v>0</v>
      </c>
      <c r="X184" s="109">
        <f t="shared" si="56"/>
        <v>0</v>
      </c>
      <c r="Y184" s="109">
        <f t="shared" si="56"/>
        <v>0</v>
      </c>
      <c r="Z184" s="109">
        <f t="shared" si="56"/>
        <v>0</v>
      </c>
      <c r="AA184" s="109">
        <f t="shared" si="56"/>
        <v>0</v>
      </c>
      <c r="AB184" s="109">
        <f t="shared" si="56"/>
        <v>0</v>
      </c>
      <c r="AC184" s="109">
        <f t="shared" si="56"/>
        <v>0</v>
      </c>
    </row>
    <row r="185" spans="2:34" ht="15.75">
      <c r="B185" s="97"/>
      <c r="C185" s="448" t="s">
        <v>162</v>
      </c>
      <c r="D185" s="109">
        <f t="shared" ref="D185:AC185" si="57">D50*D88</f>
        <v>220573778.54106835</v>
      </c>
      <c r="E185" s="109">
        <f t="shared" si="57"/>
        <v>199015980.06182751</v>
      </c>
      <c r="F185" s="109">
        <f t="shared" si="57"/>
        <v>180069110.11283141</v>
      </c>
      <c r="G185" s="109">
        <f t="shared" si="57"/>
        <v>154562753.85671228</v>
      </c>
      <c r="H185" s="109">
        <f t="shared" si="57"/>
        <v>126818005.90474623</v>
      </c>
      <c r="I185" s="109">
        <f t="shared" si="57"/>
        <v>92882444.049071461</v>
      </c>
      <c r="J185" s="109">
        <f t="shared" si="57"/>
        <v>60147247.481976211</v>
      </c>
      <c r="K185" s="109">
        <f t="shared" si="57"/>
        <v>60520356.515082717</v>
      </c>
      <c r="L185" s="109">
        <f t="shared" si="57"/>
        <v>60989843.046554871</v>
      </c>
      <c r="M185" s="109">
        <f t="shared" si="57"/>
        <v>63292070.00717634</v>
      </c>
      <c r="N185" s="109">
        <f t="shared" si="57"/>
        <v>61734039.463868007</v>
      </c>
      <c r="O185" s="109">
        <f t="shared" si="57"/>
        <v>54910883.180183716</v>
      </c>
      <c r="P185" s="109">
        <f t="shared" si="57"/>
        <v>54639555.415589616</v>
      </c>
      <c r="Q185" s="109">
        <f t="shared" si="57"/>
        <v>54523431.029077433</v>
      </c>
      <c r="R185" s="109">
        <f t="shared" si="57"/>
        <v>54342303.888025604</v>
      </c>
      <c r="S185" s="109">
        <f t="shared" si="57"/>
        <v>53476749.41363968</v>
      </c>
      <c r="T185" s="109">
        <f t="shared" si="57"/>
        <v>0</v>
      </c>
      <c r="U185" s="109">
        <f t="shared" si="57"/>
        <v>0</v>
      </c>
      <c r="V185" s="109">
        <f t="shared" si="57"/>
        <v>0</v>
      </c>
      <c r="W185" s="109">
        <f t="shared" si="57"/>
        <v>0</v>
      </c>
      <c r="X185" s="109">
        <f t="shared" si="57"/>
        <v>0</v>
      </c>
      <c r="Y185" s="109">
        <f t="shared" si="57"/>
        <v>0</v>
      </c>
      <c r="Z185" s="109">
        <f t="shared" si="57"/>
        <v>0</v>
      </c>
      <c r="AA185" s="109">
        <f t="shared" si="57"/>
        <v>0</v>
      </c>
      <c r="AB185" s="109">
        <f t="shared" si="57"/>
        <v>0</v>
      </c>
      <c r="AC185" s="109">
        <f t="shared" si="57"/>
        <v>0</v>
      </c>
    </row>
    <row r="186" spans="2:34" ht="15.75">
      <c r="B186" s="97"/>
      <c r="C186" s="448" t="s">
        <v>163</v>
      </c>
      <c r="D186" s="109">
        <f t="shared" ref="D186:AC186" si="58">D50*D90</f>
        <v>268240145.93765518</v>
      </c>
      <c r="E186" s="109">
        <f t="shared" si="58"/>
        <v>244427808.23957181</v>
      </c>
      <c r="F186" s="109">
        <f t="shared" si="58"/>
        <v>224366111.20058796</v>
      </c>
      <c r="G186" s="109">
        <f t="shared" si="58"/>
        <v>197516821.49828696</v>
      </c>
      <c r="H186" s="109">
        <f t="shared" si="58"/>
        <v>168667947.85331252</v>
      </c>
      <c r="I186" s="109">
        <f t="shared" si="58"/>
        <v>144365855.8934139</v>
      </c>
      <c r="J186" s="109">
        <f t="shared" si="58"/>
        <v>97381257.827961475</v>
      </c>
      <c r="K186" s="109">
        <f t="shared" si="58"/>
        <v>97985339.11965771</v>
      </c>
      <c r="L186" s="109">
        <f t="shared" si="58"/>
        <v>98745460.170612633</v>
      </c>
      <c r="M186" s="109">
        <f t="shared" si="58"/>
        <v>102472875.24971406</v>
      </c>
      <c r="N186" s="109">
        <f t="shared" si="58"/>
        <v>99950349.608167231</v>
      </c>
      <c r="O186" s="109">
        <f t="shared" si="58"/>
        <v>88903334.672678381</v>
      </c>
      <c r="P186" s="109">
        <f t="shared" si="58"/>
        <v>88464042.101430789</v>
      </c>
      <c r="Q186" s="109">
        <f t="shared" si="58"/>
        <v>88276031.18993488</v>
      </c>
      <c r="R186" s="109">
        <f t="shared" si="58"/>
        <v>87982777.723470017</v>
      </c>
      <c r="S186" s="109">
        <f t="shared" si="58"/>
        <v>86581403.812559471</v>
      </c>
      <c r="T186" s="109">
        <f t="shared" si="58"/>
        <v>0</v>
      </c>
      <c r="U186" s="109">
        <f t="shared" si="58"/>
        <v>0</v>
      </c>
      <c r="V186" s="109">
        <f t="shared" si="58"/>
        <v>0</v>
      </c>
      <c r="W186" s="109">
        <f t="shared" si="58"/>
        <v>0</v>
      </c>
      <c r="X186" s="109">
        <f t="shared" si="58"/>
        <v>0</v>
      </c>
      <c r="Y186" s="109">
        <f t="shared" si="58"/>
        <v>0</v>
      </c>
      <c r="Z186" s="109">
        <f t="shared" si="58"/>
        <v>0</v>
      </c>
      <c r="AA186" s="109">
        <f t="shared" si="58"/>
        <v>0</v>
      </c>
      <c r="AB186" s="109">
        <f t="shared" si="58"/>
        <v>0</v>
      </c>
      <c r="AC186" s="109">
        <f t="shared" si="58"/>
        <v>0</v>
      </c>
    </row>
    <row r="187" spans="2:34" ht="15.75">
      <c r="B187" s="97"/>
      <c r="C187" s="448" t="s">
        <v>164</v>
      </c>
      <c r="D187" s="109">
        <f t="shared" ref="D187:AC187" si="59">D50*D91</f>
        <v>306560166.78589159</v>
      </c>
      <c r="E187" s="109">
        <f t="shared" si="59"/>
        <v>279346066.55951059</v>
      </c>
      <c r="F187" s="109">
        <f t="shared" si="59"/>
        <v>256418412.80067191</v>
      </c>
      <c r="G187" s="109">
        <f t="shared" si="59"/>
        <v>225733510.28375655</v>
      </c>
      <c r="H187" s="109">
        <f t="shared" si="59"/>
        <v>192763368.97521427</v>
      </c>
      <c r="I187" s="109">
        <f t="shared" si="59"/>
        <v>148611910.47851431</v>
      </c>
      <c r="J187" s="109">
        <f t="shared" si="59"/>
        <v>100245412.46996035</v>
      </c>
      <c r="K187" s="109">
        <f t="shared" si="59"/>
        <v>100867260.85847118</v>
      </c>
      <c r="L187" s="109">
        <f t="shared" si="59"/>
        <v>101649738.41092478</v>
      </c>
      <c r="M187" s="109">
        <f t="shared" si="59"/>
        <v>105486783.34529388</v>
      </c>
      <c r="N187" s="109">
        <f t="shared" si="59"/>
        <v>102890065.77311334</v>
      </c>
      <c r="O187" s="109">
        <f t="shared" si="59"/>
        <v>91518138.633639514</v>
      </c>
      <c r="P187" s="109">
        <f t="shared" si="59"/>
        <v>91065925.69264935</v>
      </c>
      <c r="Q187" s="109">
        <f t="shared" si="59"/>
        <v>90872385.048462376</v>
      </c>
      <c r="R187" s="109">
        <f t="shared" si="59"/>
        <v>90570506.480042666</v>
      </c>
      <c r="S187" s="109">
        <f t="shared" si="59"/>
        <v>89127915.689399466</v>
      </c>
      <c r="T187" s="109">
        <f t="shared" si="59"/>
        <v>0</v>
      </c>
      <c r="U187" s="109">
        <f t="shared" si="59"/>
        <v>0</v>
      </c>
      <c r="V187" s="109">
        <f t="shared" si="59"/>
        <v>0</v>
      </c>
      <c r="W187" s="109">
        <f t="shared" si="59"/>
        <v>0</v>
      </c>
      <c r="X187" s="109">
        <f t="shared" si="59"/>
        <v>0</v>
      </c>
      <c r="Y187" s="109">
        <f t="shared" si="59"/>
        <v>0</v>
      </c>
      <c r="Z187" s="109">
        <f t="shared" si="59"/>
        <v>0</v>
      </c>
      <c r="AA187" s="109">
        <f t="shared" si="59"/>
        <v>0</v>
      </c>
      <c r="AB187" s="109">
        <f t="shared" si="59"/>
        <v>0</v>
      </c>
      <c r="AC187" s="109">
        <f t="shared" si="59"/>
        <v>0</v>
      </c>
    </row>
    <row r="188" spans="2:34" ht="15.75">
      <c r="B188" s="450" t="s">
        <v>46</v>
      </c>
      <c r="C188" s="449" t="s">
        <v>170</v>
      </c>
      <c r="D188" s="107">
        <f>D182-D184</f>
        <v>-188598322.77290159</v>
      </c>
      <c r="E188" s="107">
        <f t="shared" ref="E188:AC188" si="60">E182-E184</f>
        <v>-165146413.90517643</v>
      </c>
      <c r="F188" s="107">
        <f t="shared" si="60"/>
        <v>-143759415.40031245</v>
      </c>
      <c r="G188" s="107">
        <f t="shared" si="60"/>
        <v>-116581535.02842852</v>
      </c>
      <c r="H188" s="107">
        <f t="shared" si="60"/>
        <v>-87414957.179760009</v>
      </c>
      <c r="I188" s="107">
        <f t="shared" si="60"/>
        <v>-61577632.079297803</v>
      </c>
      <c r="J188" s="107">
        <f t="shared" si="60"/>
        <v>-24960040.903982401</v>
      </c>
      <c r="K188" s="107">
        <f t="shared" si="60"/>
        <v>-19964918.277459569</v>
      </c>
      <c r="L188" s="107">
        <f t="shared" si="60"/>
        <v>-15003932.774168596</v>
      </c>
      <c r="M188" s="107">
        <f t="shared" si="60"/>
        <v>-11839002.438711785</v>
      </c>
      <c r="N188" s="107">
        <f t="shared" si="60"/>
        <v>-5058909.6609302759</v>
      </c>
      <c r="O188" s="107">
        <f t="shared" si="60"/>
        <v>6684946.1550836489</v>
      </c>
      <c r="P188" s="107">
        <f t="shared" si="60"/>
        <v>11851437.453216761</v>
      </c>
      <c r="Q188" s="107">
        <f t="shared" si="60"/>
        <v>16663723.111138061</v>
      </c>
      <c r="R188" s="107">
        <f t="shared" si="60"/>
        <v>21247383.958875887</v>
      </c>
      <c r="S188" s="107">
        <f t="shared" si="60"/>
        <v>26224093.431165211</v>
      </c>
      <c r="T188" s="107">
        <f t="shared" si="60"/>
        <v>76082039.344921917</v>
      </c>
      <c r="U188" s="107">
        <f t="shared" si="60"/>
        <v>73409933.902534172</v>
      </c>
      <c r="V188" s="107">
        <f t="shared" si="60"/>
        <v>70347179.609499171</v>
      </c>
      <c r="W188" s="107">
        <f t="shared" si="60"/>
        <v>66972690.874061041</v>
      </c>
      <c r="X188" s="107">
        <f t="shared" si="60"/>
        <v>63252797.460660376</v>
      </c>
      <c r="Y188" s="107">
        <f t="shared" si="60"/>
        <v>59369706.739420287</v>
      </c>
      <c r="Z188" s="107">
        <f t="shared" si="60"/>
        <v>55202881.071532428</v>
      </c>
      <c r="AA188" s="107">
        <f t="shared" si="60"/>
        <v>50907964.756387614</v>
      </c>
      <c r="AB188" s="107">
        <f t="shared" si="60"/>
        <v>46678503.600199878</v>
      </c>
      <c r="AC188" s="107">
        <f t="shared" si="60"/>
        <v>42540587.790254891</v>
      </c>
    </row>
    <row r="189" spans="2:34" ht="15.75">
      <c r="B189" s="182"/>
      <c r="C189" s="449" t="s">
        <v>171</v>
      </c>
      <c r="D189" s="107">
        <f>D183-D184</f>
        <v>-179754165.90725419</v>
      </c>
      <c r="E189" s="107">
        <f t="shared" ref="E189:AC189" si="61">E183-E184</f>
        <v>-147086354.49205622</v>
      </c>
      <c r="F189" s="107">
        <f t="shared" si="61"/>
        <v>-116042319.19309777</v>
      </c>
      <c r="G189" s="107">
        <f t="shared" si="61"/>
        <v>-79104311.660393596</v>
      </c>
      <c r="H189" s="107">
        <f t="shared" si="61"/>
        <v>-40117146.34562926</v>
      </c>
      <c r="I189" s="107">
        <f t="shared" si="61"/>
        <v>-4036868.6452877522</v>
      </c>
      <c r="J189" s="107">
        <f t="shared" si="61"/>
        <v>42256233.241558872</v>
      </c>
      <c r="K189" s="107">
        <f t="shared" si="61"/>
        <v>58011135.592804581</v>
      </c>
      <c r="L189" s="107">
        <f t="shared" si="61"/>
        <v>73851369.902678668</v>
      </c>
      <c r="M189" s="107">
        <f t="shared" si="61"/>
        <v>87864060.914389282</v>
      </c>
      <c r="N189" s="107">
        <f t="shared" si="61"/>
        <v>105221187.27757727</v>
      </c>
      <c r="O189" s="107">
        <f t="shared" si="61"/>
        <v>127238958.11606529</v>
      </c>
      <c r="P189" s="107">
        <f t="shared" si="61"/>
        <v>142252129.85631844</v>
      </c>
      <c r="Q189" s="107">
        <f t="shared" si="61"/>
        <v>156502527.72325516</v>
      </c>
      <c r="R189" s="107">
        <f t="shared" si="61"/>
        <v>169938329.19188213</v>
      </c>
      <c r="S189" s="107">
        <f t="shared" si="61"/>
        <v>183221267.28614676</v>
      </c>
      <c r="T189" s="107">
        <f t="shared" si="61"/>
        <v>228880000.02607352</v>
      </c>
      <c r="U189" s="107">
        <f t="shared" si="61"/>
        <v>220841420.89505556</v>
      </c>
      <c r="V189" s="107">
        <f t="shared" si="61"/>
        <v>211627640.49819115</v>
      </c>
      <c r="W189" s="107">
        <f t="shared" si="61"/>
        <v>201476059.5402523</v>
      </c>
      <c r="X189" s="107">
        <f t="shared" si="61"/>
        <v>190285386.78901035</v>
      </c>
      <c r="Y189" s="107">
        <f t="shared" si="61"/>
        <v>178603762.42626911</v>
      </c>
      <c r="Z189" s="107">
        <f t="shared" si="61"/>
        <v>166068569.26916727</v>
      </c>
      <c r="AA189" s="107">
        <f t="shared" si="61"/>
        <v>153148036.97552365</v>
      </c>
      <c r="AB189" s="107">
        <f t="shared" si="61"/>
        <v>140424415.5022628</v>
      </c>
      <c r="AC189" s="107">
        <f t="shared" si="61"/>
        <v>127976192.78317355</v>
      </c>
    </row>
    <row r="190" spans="2:34" ht="15.75">
      <c r="B190" s="182"/>
      <c r="C190" s="449" t="s">
        <v>172</v>
      </c>
      <c r="D190" s="107">
        <f>D182-D185</f>
        <v>-216170045.09053513</v>
      </c>
      <c r="E190" s="107">
        <f t="shared" ref="E190:AC190" si="62">E182-E185</f>
        <v>-190023411.41290486</v>
      </c>
      <c r="F190" s="107">
        <f t="shared" si="62"/>
        <v>-166268054.16441637</v>
      </c>
      <c r="G190" s="107">
        <f t="shared" si="62"/>
        <v>-135901879.26051757</v>
      </c>
      <c r="H190" s="107">
        <f t="shared" si="62"/>
        <v>-103267207.9178533</v>
      </c>
      <c r="I190" s="107">
        <f t="shared" si="62"/>
        <v>-64231416.194985561</v>
      </c>
      <c r="J190" s="107">
        <f t="shared" si="62"/>
        <v>-26678533.689181723</v>
      </c>
      <c r="K190" s="107">
        <f t="shared" si="62"/>
        <v>-21694071.320747651</v>
      </c>
      <c r="L190" s="107">
        <f t="shared" si="62"/>
        <v>-16746499.718355879</v>
      </c>
      <c r="M190" s="107">
        <f t="shared" si="62"/>
        <v>-13647347.296059683</v>
      </c>
      <c r="N190" s="107">
        <f t="shared" si="62"/>
        <v>-6822739.3598979414</v>
      </c>
      <c r="O190" s="107">
        <f t="shared" si="62"/>
        <v>5116063.7785069719</v>
      </c>
      <c r="P190" s="107">
        <f t="shared" si="62"/>
        <v>10290307.298485629</v>
      </c>
      <c r="Q190" s="107">
        <f t="shared" si="62"/>
        <v>15105910.796021558</v>
      </c>
      <c r="R190" s="107">
        <f t="shared" si="62"/>
        <v>19694746.704932295</v>
      </c>
      <c r="S190" s="107">
        <f t="shared" si="62"/>
        <v>24696186.305061221</v>
      </c>
      <c r="T190" s="107">
        <f t="shared" si="62"/>
        <v>76082039.344921917</v>
      </c>
      <c r="U190" s="107">
        <f t="shared" si="62"/>
        <v>73409933.902534172</v>
      </c>
      <c r="V190" s="107">
        <f t="shared" si="62"/>
        <v>70347179.609499171</v>
      </c>
      <c r="W190" s="107">
        <f t="shared" si="62"/>
        <v>66972690.874061041</v>
      </c>
      <c r="X190" s="107">
        <f t="shared" si="62"/>
        <v>63252797.460660376</v>
      </c>
      <c r="Y190" s="107">
        <f t="shared" si="62"/>
        <v>59369706.739420287</v>
      </c>
      <c r="Z190" s="107">
        <f t="shared" si="62"/>
        <v>55202881.071532428</v>
      </c>
      <c r="AA190" s="107">
        <f t="shared" si="62"/>
        <v>50907964.756387614</v>
      </c>
      <c r="AB190" s="107">
        <f t="shared" si="62"/>
        <v>46678503.600199878</v>
      </c>
      <c r="AC190" s="107">
        <f t="shared" si="62"/>
        <v>42540587.790254891</v>
      </c>
    </row>
    <row r="191" spans="2:34" ht="15.75">
      <c r="B191" s="182"/>
      <c r="C191" s="449" t="s">
        <v>169</v>
      </c>
      <c r="D191" s="107">
        <f>D183-D185</f>
        <v>-207325888.22488773</v>
      </c>
      <c r="E191" s="107">
        <f t="shared" ref="E191:AC191" si="63">E183-E185</f>
        <v>-171963351.99978465</v>
      </c>
      <c r="F191" s="107">
        <f t="shared" si="63"/>
        <v>-138550957.95720169</v>
      </c>
      <c r="G191" s="107">
        <f t="shared" si="63"/>
        <v>-98424655.892482638</v>
      </c>
      <c r="H191" s="107">
        <f t="shared" si="63"/>
        <v>-55969397.083722547</v>
      </c>
      <c r="I191" s="107">
        <f t="shared" si="63"/>
        <v>-6690652.7609755099</v>
      </c>
      <c r="J191" s="107">
        <f t="shared" si="63"/>
        <v>40537740.45635955</v>
      </c>
      <c r="K191" s="107">
        <f t="shared" si="63"/>
        <v>56281982.549516499</v>
      </c>
      <c r="L191" s="107">
        <f t="shared" si="63"/>
        <v>72108802.958491385</v>
      </c>
      <c r="M191" s="107">
        <f t="shared" si="63"/>
        <v>86055716.057041377</v>
      </c>
      <c r="N191" s="107">
        <f t="shared" si="63"/>
        <v>103457357.5786096</v>
      </c>
      <c r="O191" s="107">
        <f t="shared" si="63"/>
        <v>125670075.73948863</v>
      </c>
      <c r="P191" s="107">
        <f t="shared" si="63"/>
        <v>140690999.70158732</v>
      </c>
      <c r="Q191" s="107">
        <f t="shared" si="63"/>
        <v>154944715.40813863</v>
      </c>
      <c r="R191" s="107">
        <f t="shared" si="63"/>
        <v>168385691.93793854</v>
      </c>
      <c r="S191" s="107">
        <f t="shared" si="63"/>
        <v>181693360.16004276</v>
      </c>
      <c r="T191" s="107">
        <f t="shared" si="63"/>
        <v>228880000.02607352</v>
      </c>
      <c r="U191" s="107">
        <f t="shared" si="63"/>
        <v>220841420.89505556</v>
      </c>
      <c r="V191" s="107">
        <f t="shared" si="63"/>
        <v>211627640.49819115</v>
      </c>
      <c r="W191" s="107">
        <f t="shared" si="63"/>
        <v>201476059.5402523</v>
      </c>
      <c r="X191" s="107">
        <f t="shared" si="63"/>
        <v>190285386.78901035</v>
      </c>
      <c r="Y191" s="107">
        <f t="shared" si="63"/>
        <v>178603762.42626911</v>
      </c>
      <c r="Z191" s="107">
        <f t="shared" si="63"/>
        <v>166068569.26916727</v>
      </c>
      <c r="AA191" s="107">
        <f t="shared" si="63"/>
        <v>153148036.97552365</v>
      </c>
      <c r="AB191" s="107">
        <f t="shared" si="63"/>
        <v>140424415.5022628</v>
      </c>
      <c r="AC191" s="107">
        <f t="shared" si="63"/>
        <v>127976192.78317355</v>
      </c>
    </row>
    <row r="192" spans="2:34" ht="15.75">
      <c r="B192" s="182"/>
      <c r="C192" s="449" t="s">
        <v>174</v>
      </c>
      <c r="D192" s="107">
        <f>D182-D186</f>
        <v>-263836412.48712197</v>
      </c>
      <c r="E192" s="107">
        <f t="shared" ref="E192:AC192" si="64">E182-E186</f>
        <v>-235435239.59064916</v>
      </c>
      <c r="F192" s="107">
        <f t="shared" si="64"/>
        <v>-210565055.25217292</v>
      </c>
      <c r="G192" s="107">
        <f t="shared" si="64"/>
        <v>-178855946.90209225</v>
      </c>
      <c r="H192" s="107">
        <f t="shared" si="64"/>
        <v>-145117149.86641958</v>
      </c>
      <c r="I192" s="107">
        <f t="shared" si="64"/>
        <v>-115714828.03932801</v>
      </c>
      <c r="J192" s="107">
        <f t="shared" si="64"/>
        <v>-63912544.035166986</v>
      </c>
      <c r="K192" s="107">
        <f t="shared" si="64"/>
        <v>-59159053.925322644</v>
      </c>
      <c r="L192" s="107">
        <f t="shared" si="64"/>
        <v>-54502116.842413642</v>
      </c>
      <c r="M192" s="107">
        <f t="shared" si="64"/>
        <v>-52828152.538597405</v>
      </c>
      <c r="N192" s="107">
        <f t="shared" si="64"/>
        <v>-45039049.504197165</v>
      </c>
      <c r="O192" s="107">
        <f t="shared" si="64"/>
        <v>-28876387.713987693</v>
      </c>
      <c r="P192" s="107">
        <f t="shared" si="64"/>
        <v>-23534179.387355544</v>
      </c>
      <c r="Q192" s="107">
        <f t="shared" si="64"/>
        <v>-18646689.364835888</v>
      </c>
      <c r="R192" s="107">
        <f t="shared" si="64"/>
        <v>-13945727.130512118</v>
      </c>
      <c r="S192" s="107">
        <f t="shared" si="64"/>
        <v>-8408468.0938585699</v>
      </c>
      <c r="T192" s="107">
        <f t="shared" si="64"/>
        <v>76082039.344921917</v>
      </c>
      <c r="U192" s="107">
        <f t="shared" si="64"/>
        <v>73409933.902534172</v>
      </c>
      <c r="V192" s="107">
        <f t="shared" si="64"/>
        <v>70347179.609499171</v>
      </c>
      <c r="W192" s="107">
        <f t="shared" si="64"/>
        <v>66972690.874061041</v>
      </c>
      <c r="X192" s="107">
        <f t="shared" si="64"/>
        <v>63252797.460660376</v>
      </c>
      <c r="Y192" s="107">
        <f t="shared" si="64"/>
        <v>59369706.739420287</v>
      </c>
      <c r="Z192" s="107">
        <f t="shared" si="64"/>
        <v>55202881.071532428</v>
      </c>
      <c r="AA192" s="107">
        <f t="shared" si="64"/>
        <v>50907964.756387614</v>
      </c>
      <c r="AB192" s="107">
        <f t="shared" si="64"/>
        <v>46678503.600199878</v>
      </c>
      <c r="AC192" s="107">
        <f t="shared" si="64"/>
        <v>42540587.790254891</v>
      </c>
    </row>
    <row r="193" spans="2:29" ht="15.75">
      <c r="B193" s="182"/>
      <c r="C193" s="449" t="s">
        <v>173</v>
      </c>
      <c r="D193" s="107">
        <f>D183-D186</f>
        <v>-254992255.62147456</v>
      </c>
      <c r="E193" s="107">
        <f t="shared" ref="E193:AC193" si="65">E183-E186</f>
        <v>-217375180.17752895</v>
      </c>
      <c r="F193" s="107">
        <f t="shared" si="65"/>
        <v>-182847959.04495823</v>
      </c>
      <c r="G193" s="107">
        <f t="shared" si="65"/>
        <v>-141378723.53405732</v>
      </c>
      <c r="H193" s="107">
        <f t="shared" si="65"/>
        <v>-97819339.032288834</v>
      </c>
      <c r="I193" s="107">
        <f t="shared" si="65"/>
        <v>-58174064.60531795</v>
      </c>
      <c r="J193" s="107">
        <f t="shared" si="65"/>
        <v>3303730.1103742868</v>
      </c>
      <c r="K193" s="107">
        <f t="shared" si="65"/>
        <v>18816999.944941506</v>
      </c>
      <c r="L193" s="107">
        <f t="shared" si="65"/>
        <v>34353185.83443363</v>
      </c>
      <c r="M193" s="107">
        <f t="shared" si="65"/>
        <v>46874910.814503655</v>
      </c>
      <c r="N193" s="107">
        <f t="shared" si="65"/>
        <v>65241047.434310377</v>
      </c>
      <c r="O193" s="107">
        <f t="shared" si="65"/>
        <v>91677624.246993959</v>
      </c>
      <c r="P193" s="107">
        <f t="shared" si="65"/>
        <v>106866513.01574613</v>
      </c>
      <c r="Q193" s="107">
        <f t="shared" si="65"/>
        <v>121192115.24728119</v>
      </c>
      <c r="R193" s="107">
        <f t="shared" si="65"/>
        <v>134745218.10249412</v>
      </c>
      <c r="S193" s="107">
        <f t="shared" si="65"/>
        <v>148588705.761123</v>
      </c>
      <c r="T193" s="107">
        <f t="shared" si="65"/>
        <v>228880000.02607352</v>
      </c>
      <c r="U193" s="107">
        <f t="shared" si="65"/>
        <v>220841420.89505556</v>
      </c>
      <c r="V193" s="107">
        <f t="shared" si="65"/>
        <v>211627640.49819115</v>
      </c>
      <c r="W193" s="107">
        <f t="shared" si="65"/>
        <v>201476059.5402523</v>
      </c>
      <c r="X193" s="107">
        <f t="shared" si="65"/>
        <v>190285386.78901035</v>
      </c>
      <c r="Y193" s="107">
        <f t="shared" si="65"/>
        <v>178603762.42626911</v>
      </c>
      <c r="Z193" s="107">
        <f t="shared" si="65"/>
        <v>166068569.26916727</v>
      </c>
      <c r="AA193" s="107">
        <f t="shared" si="65"/>
        <v>153148036.97552365</v>
      </c>
      <c r="AB193" s="107">
        <f t="shared" si="65"/>
        <v>140424415.5022628</v>
      </c>
      <c r="AC193" s="107">
        <f t="shared" si="65"/>
        <v>127976192.78317355</v>
      </c>
    </row>
    <row r="194" spans="2:29" ht="15.75">
      <c r="B194" s="182"/>
      <c r="C194" s="449" t="s">
        <v>175</v>
      </c>
      <c r="D194" s="107">
        <f>D182-D187</f>
        <v>-302156433.33535838</v>
      </c>
      <c r="E194" s="107">
        <f t="shared" ref="E194:AC194" si="66">E182-E187</f>
        <v>-270353497.91058797</v>
      </c>
      <c r="F194" s="107">
        <f t="shared" si="66"/>
        <v>-242617356.85225686</v>
      </c>
      <c r="G194" s="107">
        <f t="shared" si="66"/>
        <v>-207072635.68756184</v>
      </c>
      <c r="H194" s="107">
        <f t="shared" si="66"/>
        <v>-169212570.98832133</v>
      </c>
      <c r="I194" s="107">
        <f t="shared" si="66"/>
        <v>-119960882.62442842</v>
      </c>
      <c r="J194" s="107">
        <f t="shared" si="66"/>
        <v>-66776698.677165858</v>
      </c>
      <c r="K194" s="107">
        <f t="shared" si="66"/>
        <v>-62040975.664136119</v>
      </c>
      <c r="L194" s="107">
        <f t="shared" si="66"/>
        <v>-57406395.082725786</v>
      </c>
      <c r="M194" s="107">
        <f t="shared" si="66"/>
        <v>-55842060.634177223</v>
      </c>
      <c r="N194" s="107">
        <f t="shared" si="66"/>
        <v>-47978765.669143274</v>
      </c>
      <c r="O194" s="107">
        <f t="shared" si="66"/>
        <v>-31491191.674948826</v>
      </c>
      <c r="P194" s="107">
        <f t="shared" si="66"/>
        <v>-26136062.978574105</v>
      </c>
      <c r="Q194" s="107">
        <f t="shared" si="66"/>
        <v>-21243043.223363385</v>
      </c>
      <c r="R194" s="107">
        <f t="shared" si="66"/>
        <v>-16533455.887084767</v>
      </c>
      <c r="S194" s="107">
        <f t="shared" si="66"/>
        <v>-10954979.970698565</v>
      </c>
      <c r="T194" s="107">
        <f t="shared" si="66"/>
        <v>76082039.344921917</v>
      </c>
      <c r="U194" s="107">
        <f t="shared" si="66"/>
        <v>73409933.902534172</v>
      </c>
      <c r="V194" s="107">
        <f t="shared" si="66"/>
        <v>70347179.609499171</v>
      </c>
      <c r="W194" s="107">
        <f t="shared" si="66"/>
        <v>66972690.874061041</v>
      </c>
      <c r="X194" s="107">
        <f t="shared" si="66"/>
        <v>63252797.460660376</v>
      </c>
      <c r="Y194" s="107">
        <f t="shared" si="66"/>
        <v>59369706.739420287</v>
      </c>
      <c r="Z194" s="107">
        <f t="shared" si="66"/>
        <v>55202881.071532428</v>
      </c>
      <c r="AA194" s="107">
        <f t="shared" si="66"/>
        <v>50907964.756387614</v>
      </c>
      <c r="AB194" s="107">
        <f t="shared" si="66"/>
        <v>46678503.600199878</v>
      </c>
      <c r="AC194" s="107">
        <f t="shared" si="66"/>
        <v>42540587.790254891</v>
      </c>
    </row>
    <row r="195" spans="2:29" ht="16.5" thickBot="1">
      <c r="B195" s="451"/>
      <c r="C195" s="452" t="s">
        <v>176</v>
      </c>
      <c r="D195" s="400">
        <f>D183-D187</f>
        <v>-293312276.46971101</v>
      </c>
      <c r="E195" s="400">
        <f t="shared" ref="E195:AC195" si="67">E183-E187</f>
        <v>-252293438.49746773</v>
      </c>
      <c r="F195" s="400">
        <f t="shared" si="67"/>
        <v>-214900260.64504218</v>
      </c>
      <c r="G195" s="107">
        <f t="shared" si="67"/>
        <v>-169595412.31952691</v>
      </c>
      <c r="H195" s="107">
        <f t="shared" si="67"/>
        <v>-121914760.15419059</v>
      </c>
      <c r="I195" s="107">
        <f t="shared" si="67"/>
        <v>-62420119.190418363</v>
      </c>
      <c r="J195" s="107">
        <f t="shared" si="67"/>
        <v>439575.46837541461</v>
      </c>
      <c r="K195" s="107">
        <f t="shared" si="67"/>
        <v>15935078.206128031</v>
      </c>
      <c r="L195" s="107">
        <f t="shared" si="67"/>
        <v>31448907.594121486</v>
      </c>
      <c r="M195" s="107">
        <f t="shared" si="67"/>
        <v>43861002.718923837</v>
      </c>
      <c r="N195" s="107">
        <f t="shared" si="67"/>
        <v>62301331.269364268</v>
      </c>
      <c r="O195" s="107">
        <f t="shared" si="67"/>
        <v>89062820.286032826</v>
      </c>
      <c r="P195" s="400">
        <f t="shared" si="67"/>
        <v>104264629.42452757</v>
      </c>
      <c r="Q195" s="400">
        <f t="shared" si="67"/>
        <v>118595761.3887537</v>
      </c>
      <c r="R195" s="400">
        <f t="shared" si="67"/>
        <v>132157489.34592149</v>
      </c>
      <c r="S195" s="400">
        <f t="shared" si="67"/>
        <v>146042193.88428301</v>
      </c>
      <c r="T195" s="400">
        <f t="shared" si="67"/>
        <v>228880000.02607352</v>
      </c>
      <c r="U195" s="400">
        <f t="shared" si="67"/>
        <v>220841420.89505556</v>
      </c>
      <c r="V195" s="400">
        <f t="shared" si="67"/>
        <v>211627640.49819115</v>
      </c>
      <c r="W195" s="400">
        <f t="shared" si="67"/>
        <v>201476059.5402523</v>
      </c>
      <c r="X195" s="400">
        <f t="shared" si="67"/>
        <v>190285386.78901035</v>
      </c>
      <c r="Y195" s="400">
        <f t="shared" si="67"/>
        <v>178603762.42626911</v>
      </c>
      <c r="Z195" s="400">
        <f t="shared" si="67"/>
        <v>166068569.26916727</v>
      </c>
      <c r="AA195" s="400">
        <f t="shared" si="67"/>
        <v>153148036.97552365</v>
      </c>
      <c r="AB195" s="400">
        <f t="shared" si="67"/>
        <v>140424415.5022628</v>
      </c>
      <c r="AC195" s="400">
        <f t="shared" si="67"/>
        <v>127976192.78317355</v>
      </c>
    </row>
    <row r="196" spans="2:29" ht="19.5" thickBot="1">
      <c r="B196" s="635" t="s">
        <v>177</v>
      </c>
      <c r="C196" s="454"/>
      <c r="D196" s="457" t="s">
        <v>47</v>
      </c>
      <c r="E196" s="457" t="s">
        <v>72</v>
      </c>
      <c r="F196" s="510" t="s">
        <v>71</v>
      </c>
      <c r="G196" s="604" t="s">
        <v>233</v>
      </c>
      <c r="I196" s="566" t="s">
        <v>245</v>
      </c>
      <c r="J196" s="559"/>
      <c r="K196" s="559"/>
      <c r="L196" s="569" t="s">
        <v>246</v>
      </c>
      <c r="M196" s="556"/>
      <c r="N196" s="556"/>
      <c r="O196" s="556"/>
      <c r="P196" s="556"/>
      <c r="Q196" s="557"/>
      <c r="T196" s="508" t="s">
        <v>221</v>
      </c>
      <c r="U196" s="508" t="s">
        <v>222</v>
      </c>
      <c r="V196" s="508" t="s">
        <v>223</v>
      </c>
      <c r="W196" s="508" t="s">
        <v>224</v>
      </c>
      <c r="X196" s="508" t="s">
        <v>225</v>
      </c>
      <c r="Y196" s="509" t="s">
        <v>226</v>
      </c>
      <c r="Z196" s="114"/>
      <c r="AA196" s="114"/>
      <c r="AB196" s="114"/>
      <c r="AC196" s="114"/>
    </row>
    <row r="197" spans="2:29" ht="19.5" thickBot="1">
      <c r="B197" s="476"/>
      <c r="C197" s="455" t="s">
        <v>181</v>
      </c>
      <c r="D197" s="473">
        <f t="shared" ref="D197:D204" si="68">NPV(10%,E188:AC188)+D188</f>
        <v>-565315378.97936523</v>
      </c>
      <c r="E197" s="473">
        <f t="shared" ref="E197:E204" si="69">NPV(6%,E188:AC188)+D188</f>
        <v>-506771229.78209716</v>
      </c>
      <c r="F197" s="517">
        <f t="shared" ref="F197:F204" si="70">NPV(3%,E188:AC188)+D188</f>
        <v>-392203883.50450855</v>
      </c>
      <c r="G197" s="474">
        <f>NPV(0%,E188:AD188)+D188</f>
        <v>-152469211.16217792</v>
      </c>
      <c r="I197" s="558" t="s">
        <v>179</v>
      </c>
      <c r="J197" s="559" t="s">
        <v>215</v>
      </c>
      <c r="K197" s="559" t="s">
        <v>216</v>
      </c>
      <c r="L197" s="567" t="s">
        <v>178</v>
      </c>
      <c r="M197" s="568" t="s">
        <v>180</v>
      </c>
      <c r="N197" s="568" t="s">
        <v>217</v>
      </c>
      <c r="O197" s="568" t="s">
        <v>218</v>
      </c>
      <c r="P197" s="568" t="s">
        <v>219</v>
      </c>
      <c r="Q197" s="509" t="s">
        <v>220</v>
      </c>
      <c r="S197" s="505" t="s">
        <v>161</v>
      </c>
      <c r="T197" s="483">
        <f>L198/I198</f>
        <v>0.39358505527868659</v>
      </c>
      <c r="U197" s="531">
        <f>M198/I198</f>
        <v>1.1840343429025157</v>
      </c>
      <c r="V197" s="485">
        <f>N198/J198</f>
        <v>0.52992340292707851</v>
      </c>
      <c r="W197" s="533">
        <f>O198/J198</f>
        <v>1.5941852968201502</v>
      </c>
      <c r="X197" s="483">
        <f>P198/K198</f>
        <v>0.46594019199879644</v>
      </c>
      <c r="Y197" s="486">
        <f>$Q$114/K198</f>
        <v>0.24456271981169325</v>
      </c>
      <c r="Z197" s="114"/>
      <c r="AA197" s="114"/>
      <c r="AB197" s="114"/>
      <c r="AC197" s="114"/>
    </row>
    <row r="198" spans="2:29" ht="18.75">
      <c r="B198" s="476"/>
      <c r="C198" s="455" t="s">
        <v>182</v>
      </c>
      <c r="D198" s="473">
        <f t="shared" si="68"/>
        <v>171561478.17393538</v>
      </c>
      <c r="E198" s="473">
        <f t="shared" si="69"/>
        <v>640567974.3747741</v>
      </c>
      <c r="F198" s="517">
        <f t="shared" si="70"/>
        <v>1282538011.0979183</v>
      </c>
      <c r="G198" s="474">
        <f t="shared" ref="G198:G204" si="71">NPV(0%,E189:AD189)+D189</f>
        <v>2399547517.5639362</v>
      </c>
      <c r="H198" s="639" t="s">
        <v>161</v>
      </c>
      <c r="I198" s="563">
        <f>NPV(10%,E184:AC184)+D184</f>
        <v>932225341.57558382</v>
      </c>
      <c r="J198" s="494">
        <f>NPV(6%,E184:AC184)+D184</f>
        <v>1078060964.8250232</v>
      </c>
      <c r="K198" s="495">
        <f>NPV(3%,E184:AC184)+D184</f>
        <v>1226100999.3411374</v>
      </c>
      <c r="L198" s="560">
        <f>NPV(10%,E182:AC182)+D182</f>
        <v>366909962.59621865</v>
      </c>
      <c r="M198" s="502">
        <f>NPV(10%,E183:AC183)+D183</f>
        <v>1103786819.7495196</v>
      </c>
      <c r="N198" s="491">
        <f>NPV(6%,E182:AC182)+D182</f>
        <v>571289735.04292572</v>
      </c>
      <c r="O198" s="491">
        <f>NPV(6%,E183:AC183)+D183</f>
        <v>1718628939.1997972</v>
      </c>
      <c r="P198" s="492">
        <f>NPV(6%,E182:AC182)+D182</f>
        <v>571289735.04292572</v>
      </c>
      <c r="Q198" s="491">
        <f>NPV(6%,E183:AC183)+D183</f>
        <v>1718628939.1997972</v>
      </c>
      <c r="S198" s="506" t="s">
        <v>162</v>
      </c>
      <c r="T198" s="483">
        <f>L198/I199</f>
        <v>0.35470942417502016</v>
      </c>
      <c r="U198" s="531">
        <f>M198/I199</f>
        <v>1.0670835549815727</v>
      </c>
      <c r="V198" s="485">
        <f>N198/J199</f>
        <v>0.48045395813938757</v>
      </c>
      <c r="W198" s="533">
        <f>O198/J199</f>
        <v>1.4453648048645511</v>
      </c>
      <c r="X198" s="483">
        <f>P198/K199</f>
        <v>0.42465231066712134</v>
      </c>
      <c r="Y198" s="486">
        <f>$Q$114/K199</f>
        <v>0.22289153383732904</v>
      </c>
      <c r="Z198" s="114"/>
      <c r="AA198" s="114"/>
      <c r="AB198" s="114"/>
      <c r="AC198" s="114"/>
    </row>
    <row r="199" spans="2:29" ht="18.75">
      <c r="B199" s="476"/>
      <c r="C199" s="455" t="s">
        <v>183</v>
      </c>
      <c r="D199" s="473">
        <f t="shared" si="68"/>
        <v>-667485905.09061933</v>
      </c>
      <c r="E199" s="473">
        <f t="shared" si="69"/>
        <v>-617772661.81047928</v>
      </c>
      <c r="F199" s="517">
        <f t="shared" si="70"/>
        <v>-511414614.94246399</v>
      </c>
      <c r="G199" s="474">
        <f t="shared" si="71"/>
        <v>-281783705.39297593</v>
      </c>
      <c r="H199" s="640" t="s">
        <v>162</v>
      </c>
      <c r="I199" s="564">
        <f>NPV(10%,E185:AC185)+D185</f>
        <v>1034395867.686838</v>
      </c>
      <c r="J199" s="497">
        <f>NPV(6%,E185:AC185)+D185</f>
        <v>1189062396.853405</v>
      </c>
      <c r="K199" s="498">
        <f>NPV(3%,E185:AC185)+D185</f>
        <v>1345311730.7790921</v>
      </c>
      <c r="L199" s="561"/>
      <c r="M199" s="503"/>
      <c r="N199" s="503"/>
      <c r="O199" s="503"/>
      <c r="P199" s="503"/>
      <c r="Q199" s="503"/>
      <c r="S199" s="506" t="s">
        <v>163</v>
      </c>
      <c r="T199" s="483">
        <f>L198/I200</f>
        <v>0.26372927869169338</v>
      </c>
      <c r="U199" s="532">
        <f>M198/I200</f>
        <v>0.7933851120916362</v>
      </c>
      <c r="V199" s="485">
        <f>N198/J200</f>
        <v>0.35149854744141834</v>
      </c>
      <c r="W199" s="534">
        <f>O198/J200</f>
        <v>1.0574241731721712</v>
      </c>
      <c r="X199" s="483">
        <f>P198/K200</f>
        <v>0.3064213881816153</v>
      </c>
      <c r="Y199" s="486">
        <f>$Q$114/K200</f>
        <v>0.16083447916500851</v>
      </c>
      <c r="Z199" s="114"/>
      <c r="AA199" s="114"/>
      <c r="AB199" s="114"/>
      <c r="AC199" s="114"/>
    </row>
    <row r="200" spans="2:29" ht="19.5" thickBot="1">
      <c r="B200" s="476"/>
      <c r="C200" s="455" t="s">
        <v>184</v>
      </c>
      <c r="D200" s="473">
        <f t="shared" si="68"/>
        <v>69390952.062681198</v>
      </c>
      <c r="E200" s="473">
        <f t="shared" si="69"/>
        <v>529566542.34639227</v>
      </c>
      <c r="F200" s="517">
        <f t="shared" si="70"/>
        <v>1163327279.6599627</v>
      </c>
      <c r="G200" s="474">
        <f t="shared" si="71"/>
        <v>2270233023.333138</v>
      </c>
      <c r="H200" s="640" t="s">
        <v>163</v>
      </c>
      <c r="I200" s="564">
        <f>NPV(10%,E186:AC186)+D186</f>
        <v>1391237121.7044363</v>
      </c>
      <c r="J200" s="497">
        <f>NPV(6%,E186:AC186)+D186</f>
        <v>1625297570.079257</v>
      </c>
      <c r="K200" s="498">
        <f>NPV(3%,E186:AC186)+D186</f>
        <v>1864392490.4625897</v>
      </c>
      <c r="L200" s="561"/>
      <c r="M200" s="503"/>
      <c r="N200" s="503"/>
      <c r="O200" s="503"/>
      <c r="P200" s="503"/>
      <c r="Q200" s="503"/>
      <c r="S200" s="507" t="s">
        <v>164</v>
      </c>
      <c r="T200" s="487">
        <f>L198/I201</f>
        <v>0.23844912309898725</v>
      </c>
      <c r="U200" s="488">
        <f>M198/I201</f>
        <v>0.71733402220843745</v>
      </c>
      <c r="V200" s="489">
        <f>N198/J201</f>
        <v>0.3198148321085072</v>
      </c>
      <c r="W200" s="535">
        <f>O198/J201</f>
        <v>0.96210905243327327</v>
      </c>
      <c r="X200" s="487">
        <f>Q198/K201</f>
        <v>0.8432593746217788</v>
      </c>
      <c r="Y200" s="490">
        <f>$Q$114/K201</f>
        <v>0.14712807730888028</v>
      </c>
      <c r="Z200" s="114"/>
      <c r="AA200" s="114"/>
      <c r="AB200" s="114"/>
      <c r="AC200" s="114"/>
    </row>
    <row r="201" spans="2:29" ht="19.5" thickBot="1">
      <c r="B201" s="476"/>
      <c r="C201" s="455" t="s">
        <v>185</v>
      </c>
      <c r="D201" s="473">
        <f t="shared" si="68"/>
        <v>-1024327159.108218</v>
      </c>
      <c r="E201" s="473">
        <f t="shared" si="69"/>
        <v>-1054007835.0363315</v>
      </c>
      <c r="F201" s="517">
        <f t="shared" si="70"/>
        <v>-1030495374.6259613</v>
      </c>
      <c r="G201" s="474">
        <f t="shared" si="71"/>
        <v>-913612715.52455986</v>
      </c>
      <c r="H201" s="641" t="s">
        <v>164</v>
      </c>
      <c r="I201" s="565">
        <f>NPV(10%,E187:AC187)+D187</f>
        <v>1538734795.1952984</v>
      </c>
      <c r="J201" s="500">
        <f>NPV(6%,E187:AC187)+D187</f>
        <v>1786314072.0412171</v>
      </c>
      <c r="K201" s="501">
        <f>NPV(3%,E187:AC187)+D187</f>
        <v>2038078663.4843421</v>
      </c>
      <c r="L201" s="562"/>
      <c r="M201" s="504"/>
      <c r="N201" s="504"/>
      <c r="O201" s="504"/>
      <c r="P201" s="504"/>
      <c r="Q201" s="504"/>
      <c r="R201" s="114"/>
      <c r="S201" s="114"/>
      <c r="T201" s="114"/>
      <c r="U201" s="114"/>
      <c r="V201" s="114"/>
      <c r="W201" s="114"/>
      <c r="X201" s="114"/>
      <c r="Y201" s="114"/>
      <c r="Z201" s="114"/>
      <c r="AA201" s="114"/>
      <c r="AB201" s="114"/>
      <c r="AC201" s="114"/>
    </row>
    <row r="202" spans="2:29" ht="18.75">
      <c r="B202" s="476"/>
      <c r="C202" s="455" t="s">
        <v>186</v>
      </c>
      <c r="D202" s="473">
        <f t="shared" si="68"/>
        <v>-287450301.95491737</v>
      </c>
      <c r="E202" s="473">
        <f t="shared" si="69"/>
        <v>93331369.12054038</v>
      </c>
      <c r="F202" s="517">
        <f t="shared" si="70"/>
        <v>644246519.97646546</v>
      </c>
      <c r="G202" s="474">
        <f t="shared" si="71"/>
        <v>1638404013.2015553</v>
      </c>
      <c r="H202" s="516"/>
      <c r="I202" s="514"/>
      <c r="J202" s="515"/>
      <c r="K202" s="515"/>
      <c r="L202" s="513"/>
      <c r="M202" s="513"/>
      <c r="N202" s="513"/>
      <c r="O202" s="513"/>
      <c r="P202" s="114"/>
      <c r="Q202" s="114"/>
      <c r="R202" s="114"/>
      <c r="S202" s="114"/>
      <c r="T202" s="114"/>
      <c r="U202" s="114"/>
      <c r="V202" s="114"/>
      <c r="W202" s="114"/>
      <c r="X202" s="114"/>
      <c r="Y202" s="114"/>
      <c r="Z202" s="114"/>
      <c r="AA202" s="114"/>
      <c r="AB202" s="114"/>
      <c r="AC202" s="114"/>
    </row>
    <row r="203" spans="2:29" ht="18.75">
      <c r="B203" s="476"/>
      <c r="C203" s="455" t="s">
        <v>187</v>
      </c>
      <c r="D203" s="473">
        <f t="shared" si="68"/>
        <v>-1171824832.5990801</v>
      </c>
      <c r="E203" s="473">
        <f t="shared" si="69"/>
        <v>-1215024336.998291</v>
      </c>
      <c r="F203" s="517">
        <f t="shared" si="70"/>
        <v>-1204181547.6477132</v>
      </c>
      <c r="G203" s="474">
        <f t="shared" si="71"/>
        <v>-1103012721.7110608</v>
      </c>
      <c r="H203" s="516"/>
      <c r="I203" s="514"/>
      <c r="J203" s="515"/>
      <c r="K203" s="515"/>
      <c r="L203" s="513"/>
      <c r="M203" s="513"/>
      <c r="N203" s="513"/>
      <c r="O203" s="513"/>
      <c r="P203" s="114"/>
      <c r="Q203" s="114"/>
      <c r="R203" s="114"/>
      <c r="S203" s="114"/>
      <c r="T203" s="114"/>
      <c r="U203" s="114"/>
      <c r="V203" s="114"/>
      <c r="W203" s="114"/>
      <c r="X203" s="114"/>
      <c r="Y203" s="114"/>
      <c r="Z203" s="114"/>
      <c r="AA203" s="114"/>
      <c r="AB203" s="114"/>
      <c r="AC203" s="114"/>
    </row>
    <row r="204" spans="2:29" ht="19.5" thickBot="1">
      <c r="B204" s="636"/>
      <c r="C204" s="456" t="s">
        <v>188</v>
      </c>
      <c r="D204" s="475">
        <f t="shared" si="68"/>
        <v>-434947975.44577968</v>
      </c>
      <c r="E204" s="475">
        <f t="shared" si="69"/>
        <v>-67685132.841419548</v>
      </c>
      <c r="F204" s="602">
        <f t="shared" si="70"/>
        <v>470560346.95471305</v>
      </c>
      <c r="G204" s="607">
        <f t="shared" si="71"/>
        <v>1449004007.015054</v>
      </c>
      <c r="H204" s="516"/>
      <c r="I204" s="514"/>
      <c r="J204" s="515"/>
      <c r="K204" s="515"/>
      <c r="L204" s="513"/>
      <c r="M204" s="513"/>
      <c r="N204" s="513"/>
      <c r="O204" s="513"/>
      <c r="P204" s="114"/>
      <c r="Q204" s="114"/>
      <c r="R204" s="114"/>
      <c r="S204" s="114"/>
      <c r="T204" s="114"/>
      <c r="U204" s="114"/>
      <c r="V204" s="114"/>
      <c r="W204" s="114"/>
      <c r="X204" s="114"/>
      <c r="Y204" s="114"/>
      <c r="Z204" s="114"/>
      <c r="AA204" s="114"/>
      <c r="AB204" s="114"/>
      <c r="AC204" s="114"/>
    </row>
    <row r="205" spans="2:29">
      <c r="L205" s="114"/>
      <c r="M205" s="114"/>
      <c r="N205" s="114"/>
      <c r="O205" s="114"/>
      <c r="P205" s="114"/>
      <c r="Q205" s="114"/>
      <c r="R205" s="114"/>
      <c r="S205" s="114"/>
      <c r="T205" s="114"/>
      <c r="U205" s="114"/>
      <c r="V205" s="114"/>
      <c r="W205" s="114"/>
      <c r="X205" s="114"/>
      <c r="Y205" s="114"/>
      <c r="Z205" s="114"/>
      <c r="AA205" s="114"/>
      <c r="AB205" s="114"/>
      <c r="AC205" s="114"/>
    </row>
    <row r="207" spans="2:29" ht="15.75" thickBot="1"/>
    <row r="208" spans="2:29">
      <c r="B208" s="213"/>
      <c r="C208" s="197"/>
      <c r="D208" s="197"/>
      <c r="E208" s="197"/>
      <c r="F208" s="197"/>
      <c r="G208" s="197"/>
      <c r="H208" s="197"/>
      <c r="I208" s="197"/>
      <c r="J208" s="197"/>
      <c r="K208" s="197"/>
      <c r="L208" s="197"/>
      <c r="M208" s="197"/>
      <c r="N208" s="197"/>
      <c r="O208" s="197"/>
      <c r="P208" s="197"/>
      <c r="Q208" s="197"/>
      <c r="R208" s="197"/>
      <c r="S208" s="198"/>
    </row>
    <row r="209" spans="1:29" ht="18.75">
      <c r="B209" s="209" t="s">
        <v>263</v>
      </c>
      <c r="C209" s="200"/>
      <c r="D209" s="200"/>
      <c r="E209" s="218"/>
      <c r="F209" s="219"/>
      <c r="G209" s="219"/>
      <c r="H209" s="200"/>
      <c r="I209" s="200"/>
      <c r="J209" s="200"/>
      <c r="K209" s="200"/>
      <c r="L209" s="200"/>
      <c r="M209" s="200"/>
      <c r="N209" s="200"/>
      <c r="O209" s="200"/>
      <c r="P209" s="200"/>
      <c r="Q209" s="200"/>
      <c r="R209" s="200"/>
      <c r="S209" s="201"/>
    </row>
    <row r="210" spans="1:29" ht="15.75">
      <c r="B210" s="729" t="s">
        <v>110</v>
      </c>
      <c r="C210" s="730"/>
      <c r="D210" s="219"/>
      <c r="E210" s="218"/>
      <c r="F210" s="219"/>
      <c r="G210" s="219"/>
      <c r="H210" s="200"/>
      <c r="I210" s="200"/>
      <c r="J210" s="200"/>
      <c r="K210" s="200"/>
      <c r="L210" s="200"/>
      <c r="M210" s="200"/>
      <c r="N210" s="200"/>
      <c r="O210" s="200"/>
      <c r="P210" s="200"/>
      <c r="Q210" s="200"/>
      <c r="R210" s="200"/>
      <c r="S210" s="201"/>
    </row>
    <row r="211" spans="1:29" ht="15.75">
      <c r="B211" s="729" t="s">
        <v>109</v>
      </c>
      <c r="C211" s="730"/>
      <c r="D211" s="219"/>
      <c r="E211" s="218"/>
      <c r="F211" s="219"/>
      <c r="G211" s="219"/>
      <c r="H211" s="200"/>
      <c r="I211" s="200"/>
      <c r="J211" s="200"/>
      <c r="K211" s="200"/>
      <c r="L211" s="200"/>
      <c r="M211" s="200"/>
      <c r="N211" s="200"/>
      <c r="O211" s="200"/>
      <c r="P211" s="200"/>
      <c r="Q211" s="200"/>
      <c r="R211" s="200"/>
      <c r="S211" s="201"/>
    </row>
    <row r="212" spans="1:29" ht="15.75">
      <c r="B212" s="731" t="s">
        <v>119</v>
      </c>
      <c r="C212" s="730"/>
      <c r="D212" s="219"/>
      <c r="E212" s="218"/>
      <c r="F212" s="219"/>
      <c r="G212" s="219"/>
      <c r="H212" s="200"/>
      <c r="I212" s="200"/>
      <c r="J212" s="200"/>
      <c r="K212" s="200"/>
      <c r="L212" s="200"/>
      <c r="M212" s="200"/>
      <c r="N212" s="200"/>
      <c r="O212" s="200"/>
      <c r="P212" s="200"/>
      <c r="Q212" s="200"/>
      <c r="R212" s="200"/>
      <c r="S212" s="201"/>
    </row>
    <row r="213" spans="1:29" ht="13.5" customHeight="1">
      <c r="B213" s="731" t="s">
        <v>249</v>
      </c>
      <c r="C213" s="732"/>
      <c r="D213" s="219"/>
      <c r="E213" s="218"/>
      <c r="F213" s="219"/>
      <c r="G213" s="219"/>
      <c r="H213" s="200"/>
      <c r="I213" s="200"/>
      <c r="J213" s="200"/>
      <c r="K213" s="200"/>
      <c r="L213" s="200"/>
      <c r="M213" s="200"/>
      <c r="N213" s="200"/>
      <c r="O213" s="200"/>
      <c r="P213" s="200"/>
      <c r="Q213" s="200"/>
      <c r="R213" s="200"/>
      <c r="S213" s="201"/>
    </row>
    <row r="214" spans="1:29">
      <c r="B214" s="731" t="s">
        <v>120</v>
      </c>
      <c r="C214" s="730"/>
      <c r="D214" s="219"/>
      <c r="E214" s="200"/>
      <c r="F214" s="200"/>
      <c r="G214" s="200"/>
      <c r="H214" s="200"/>
      <c r="I214" s="200"/>
      <c r="J214" s="200"/>
      <c r="K214" s="200"/>
      <c r="L214" s="200"/>
      <c r="M214" s="200"/>
      <c r="N214" s="200"/>
      <c r="O214" s="200"/>
      <c r="P214" s="200"/>
      <c r="Q214" s="200"/>
      <c r="R214" s="200"/>
      <c r="S214" s="201"/>
    </row>
    <row r="215" spans="1:29">
      <c r="B215" s="733" t="s">
        <v>118</v>
      </c>
      <c r="C215" s="248"/>
      <c r="D215" s="248"/>
      <c r="E215" s="200"/>
      <c r="F215" s="200"/>
      <c r="G215" s="200"/>
      <c r="H215" s="200"/>
      <c r="I215" s="200"/>
      <c r="J215" s="200"/>
      <c r="K215" s="200"/>
      <c r="L215" s="200"/>
      <c r="M215" s="200"/>
      <c r="N215" s="200"/>
      <c r="O215" s="200"/>
      <c r="P215" s="200"/>
      <c r="Q215" s="200"/>
      <c r="R215" s="200"/>
      <c r="S215" s="201"/>
    </row>
    <row r="216" spans="1:29" ht="15.75" thickBot="1">
      <c r="B216" s="203"/>
      <c r="C216" s="204"/>
      <c r="D216" s="204"/>
      <c r="E216" s="204"/>
      <c r="F216" s="204"/>
      <c r="G216" s="204"/>
      <c r="H216" s="204"/>
      <c r="I216" s="204"/>
      <c r="J216" s="204"/>
      <c r="K216" s="204"/>
      <c r="L216" s="204"/>
      <c r="M216" s="204"/>
      <c r="N216" s="204"/>
      <c r="O216" s="204"/>
      <c r="P216" s="204"/>
      <c r="Q216" s="204"/>
      <c r="R216" s="204"/>
      <c r="S216" s="205"/>
    </row>
    <row r="217" spans="1:29" s="99" customFormat="1" ht="15.75" thickBot="1">
      <c r="A217" s="92"/>
      <c r="C217" s="116"/>
      <c r="D217" s="117"/>
      <c r="E217" s="112"/>
      <c r="R217" s="118"/>
    </row>
    <row r="218" spans="1:29" s="99" customFormat="1" ht="15.75" thickBot="1">
      <c r="E218" s="221">
        <f>B41</f>
        <v>1.5</v>
      </c>
      <c r="F218" s="222" t="s">
        <v>93</v>
      </c>
      <c r="G218" s="223"/>
      <c r="H218" s="181"/>
      <c r="I218" s="181"/>
      <c r="J218" s="181"/>
    </row>
    <row r="219" spans="1:29" ht="15.75" thickBot="1">
      <c r="B219" s="236" t="s">
        <v>88</v>
      </c>
      <c r="C219" s="236"/>
      <c r="AC219" s="112"/>
    </row>
    <row r="220" spans="1:29" ht="15.75" thickBot="1">
      <c r="B220" s="403"/>
      <c r="C220" s="591">
        <v>2015</v>
      </c>
      <c r="D220" s="592">
        <v>2016</v>
      </c>
      <c r="E220" s="592">
        <v>2017</v>
      </c>
      <c r="F220" s="592">
        <v>2018</v>
      </c>
      <c r="G220" s="592">
        <v>2019</v>
      </c>
      <c r="H220" s="592">
        <v>2020</v>
      </c>
      <c r="I220" s="592">
        <v>2021</v>
      </c>
      <c r="J220" s="592">
        <v>2022</v>
      </c>
      <c r="K220" s="592">
        <v>2023</v>
      </c>
      <c r="L220" s="592">
        <v>2024</v>
      </c>
      <c r="M220" s="592">
        <v>2025</v>
      </c>
      <c r="N220" s="592">
        <v>2026</v>
      </c>
      <c r="O220" s="592">
        <v>2027</v>
      </c>
      <c r="P220" s="592">
        <v>2028</v>
      </c>
      <c r="Q220" s="592">
        <v>2029</v>
      </c>
      <c r="R220" s="593">
        <v>2030</v>
      </c>
      <c r="S220" s="592">
        <v>2031</v>
      </c>
      <c r="T220" s="593">
        <v>2032</v>
      </c>
      <c r="U220" s="592">
        <v>2033</v>
      </c>
      <c r="V220" s="593">
        <v>2034</v>
      </c>
      <c r="W220" s="592">
        <v>2035</v>
      </c>
      <c r="X220" s="593">
        <v>2036</v>
      </c>
      <c r="Y220" s="592">
        <v>2037</v>
      </c>
      <c r="Z220" s="593">
        <v>2038</v>
      </c>
      <c r="AA220" s="592">
        <v>2039</v>
      </c>
      <c r="AB220" s="593">
        <v>2040</v>
      </c>
      <c r="AC220" s="402"/>
    </row>
    <row r="221" spans="1:29">
      <c r="B221" s="275" t="s">
        <v>48</v>
      </c>
      <c r="C221" s="594">
        <f t="shared" ref="C221:AB221" si="72">((((D51-D52)*1000)*1.06)/0.74)*$E$218</f>
        <v>1864199.256235186</v>
      </c>
      <c r="D221" s="595">
        <f t="shared" si="72"/>
        <v>3686271.6705443673</v>
      </c>
      <c r="E221" s="595">
        <f t="shared" si="72"/>
        <v>5540939.6561441589</v>
      </c>
      <c r="F221" s="595">
        <f t="shared" si="72"/>
        <v>7423672.9497115053</v>
      </c>
      <c r="G221" s="595">
        <f t="shared" si="72"/>
        <v>9316386.097164806</v>
      </c>
      <c r="H221" s="595">
        <f t="shared" si="72"/>
        <v>11318374.575742191</v>
      </c>
      <c r="I221" s="595">
        <f t="shared" si="72"/>
        <v>12852538.888975315</v>
      </c>
      <c r="J221" s="595">
        <f t="shared" si="72"/>
        <v>14431441.851594478</v>
      </c>
      <c r="K221" s="595">
        <f t="shared" si="72"/>
        <v>15997236.341946647</v>
      </c>
      <c r="L221" s="595">
        <f t="shared" si="72"/>
        <v>17531798.753203124</v>
      </c>
      <c r="M221" s="595">
        <f t="shared" si="72"/>
        <v>19097649.649072133</v>
      </c>
      <c r="N221" s="595">
        <f t="shared" si="72"/>
        <v>20436119.12717393</v>
      </c>
      <c r="O221" s="595">
        <f t="shared" si="72"/>
        <v>21685983.401455041</v>
      </c>
      <c r="P221" s="595">
        <f t="shared" si="72"/>
        <v>22996002.479427513</v>
      </c>
      <c r="Q221" s="595">
        <f t="shared" si="72"/>
        <v>24123157.631900415</v>
      </c>
      <c r="R221" s="595">
        <f t="shared" si="72"/>
        <v>25236489.559731431</v>
      </c>
      <c r="S221" s="595">
        <f t="shared" si="72"/>
        <v>24226857.190652918</v>
      </c>
      <c r="T221" s="595">
        <f t="shared" si="72"/>
        <v>23206122.210418768</v>
      </c>
      <c r="U221" s="595">
        <f t="shared" si="72"/>
        <v>22094862.283175334</v>
      </c>
      <c r="V221" s="595">
        <f t="shared" si="72"/>
        <v>20872446.245628837</v>
      </c>
      <c r="W221" s="595">
        <f t="shared" si="72"/>
        <v>19593715.021422572</v>
      </c>
      <c r="X221" s="595">
        <f t="shared" si="72"/>
        <v>18261955.58854901</v>
      </c>
      <c r="Y221" s="595">
        <f t="shared" si="72"/>
        <v>16853302.049153119</v>
      </c>
      <c r="Z221" s="595">
        <f t="shared" si="72"/>
        <v>15452561.892475242</v>
      </c>
      <c r="AA221" s="595">
        <f t="shared" si="72"/>
        <v>14057771.464494981</v>
      </c>
      <c r="AB221" s="596">
        <f t="shared" si="72"/>
        <v>12734286.043784006</v>
      </c>
      <c r="AC221" s="296"/>
    </row>
    <row r="222" spans="1:29">
      <c r="B222" s="275" t="s">
        <v>53</v>
      </c>
      <c r="C222" s="404">
        <f t="shared" ref="C222:AB222" si="73">((((D51-D53)*1000)*1.06)/0.74)*$E$218</f>
        <v>6206422.6214759806</v>
      </c>
      <c r="D222" s="549">
        <f t="shared" si="73"/>
        <v>12249066.030991368</v>
      </c>
      <c r="E222" s="549">
        <f t="shared" si="73"/>
        <v>18307285.596225806</v>
      </c>
      <c r="F222" s="549">
        <f t="shared" si="73"/>
        <v>24394661.655287128</v>
      </c>
      <c r="G222" s="549">
        <f t="shared" si="73"/>
        <v>30518454.755507693</v>
      </c>
      <c r="H222" s="549">
        <f t="shared" si="73"/>
        <v>36793507.103155792</v>
      </c>
      <c r="I222" s="549">
        <f t="shared" si="73"/>
        <v>41727774.674100332</v>
      </c>
      <c r="J222" s="549">
        <f t="shared" si="73"/>
        <v>46600193.528304629</v>
      </c>
      <c r="K222" s="549">
        <f t="shared" si="73"/>
        <v>51393591.817052394</v>
      </c>
      <c r="L222" s="549">
        <f t="shared" si="73"/>
        <v>56103784.349623308</v>
      </c>
      <c r="M222" s="549">
        <f t="shared" si="73"/>
        <v>60599643.514440566</v>
      </c>
      <c r="N222" s="549">
        <f t="shared" si="73"/>
        <v>64389599.520878047</v>
      </c>
      <c r="O222" s="549">
        <f t="shared" si="73"/>
        <v>67949888.841684669</v>
      </c>
      <c r="P222" s="549">
        <f t="shared" si="73"/>
        <v>71342179.216322035</v>
      </c>
      <c r="Q222" s="549">
        <f t="shared" si="73"/>
        <v>74441667.424113438</v>
      </c>
      <c r="R222" s="549">
        <f t="shared" si="73"/>
        <v>77282079.677345335</v>
      </c>
      <c r="S222" s="549">
        <f t="shared" si="73"/>
        <v>74052159.690506682</v>
      </c>
      <c r="T222" s="549">
        <f t="shared" si="73"/>
        <v>70558523.926327512</v>
      </c>
      <c r="U222" s="549">
        <f t="shared" si="73"/>
        <v>66819457.568249092</v>
      </c>
      <c r="V222" s="549">
        <f t="shared" si="73"/>
        <v>62913275.770131446</v>
      </c>
      <c r="W222" s="549">
        <f t="shared" si="73"/>
        <v>58785477.27397567</v>
      </c>
      <c r="X222" s="549">
        <f t="shared" si="73"/>
        <v>54600844.247961998</v>
      </c>
      <c r="Y222" s="549">
        <f t="shared" si="73"/>
        <v>50275150.104027078</v>
      </c>
      <c r="Z222" s="549">
        <f t="shared" si="73"/>
        <v>45907200.843367539</v>
      </c>
      <c r="AA222" s="549">
        <f t="shared" si="73"/>
        <v>41663492.555048779</v>
      </c>
      <c r="AB222" s="597">
        <f t="shared" si="73"/>
        <v>37588321.633474916</v>
      </c>
      <c r="AC222" s="296"/>
    </row>
    <row r="223" spans="1:29">
      <c r="B223" s="275" t="s">
        <v>160</v>
      </c>
      <c r="C223" s="404">
        <f t="shared" ref="C223:AB223" si="74">((((D51-D54)*1000)*1.06)/0.74)*$E$218</f>
        <v>7241332.6641737362</v>
      </c>
      <c r="D223" s="549">
        <f t="shared" si="74"/>
        <v>15232080.9930427</v>
      </c>
      <c r="E223" s="549">
        <f t="shared" si="74"/>
        <v>24091199.341395207</v>
      </c>
      <c r="F223" s="549">
        <f t="shared" si="74"/>
        <v>33726377.018959656</v>
      </c>
      <c r="G223" s="549">
        <f t="shared" si="74"/>
        <v>44096910.765552074</v>
      </c>
      <c r="H223" s="549">
        <f t="shared" si="74"/>
        <v>55203558.09425468</v>
      </c>
      <c r="I223" s="549">
        <f t="shared" si="74"/>
        <v>65489753.765928783</v>
      </c>
      <c r="J223" s="549">
        <f t="shared" si="74"/>
        <v>75973157.282493323</v>
      </c>
      <c r="K223" s="549">
        <f t="shared" si="74"/>
        <v>86572961.19246155</v>
      </c>
      <c r="L223" s="549">
        <f t="shared" si="74"/>
        <v>97142085.77769728</v>
      </c>
      <c r="M223" s="549">
        <f t="shared" si="74"/>
        <v>107447437.18087646</v>
      </c>
      <c r="N223" s="549">
        <f t="shared" si="74"/>
        <v>117457455.9387897</v>
      </c>
      <c r="O223" s="549">
        <f t="shared" si="74"/>
        <v>127051214.08387725</v>
      </c>
      <c r="P223" s="549">
        <f t="shared" si="74"/>
        <v>136246898.49871522</v>
      </c>
      <c r="Q223" s="549">
        <f t="shared" si="74"/>
        <v>144871662.61920407</v>
      </c>
      <c r="R223" s="549">
        <f t="shared" si="74"/>
        <v>152964537.06206328</v>
      </c>
      <c r="S223" s="549">
        <f t="shared" si="74"/>
        <v>148873185.07535085</v>
      </c>
      <c r="T223" s="549">
        <f t="shared" si="74"/>
        <v>143644554.88233024</v>
      </c>
      <c r="U223" s="549">
        <f t="shared" si="74"/>
        <v>137651524.32435328</v>
      </c>
      <c r="V223" s="549">
        <f t="shared" si="74"/>
        <v>131048508.81147978</v>
      </c>
      <c r="W223" s="549">
        <f t="shared" si="74"/>
        <v>123769624.26314203</v>
      </c>
      <c r="X223" s="549">
        <f t="shared" si="74"/>
        <v>116171404.1236061</v>
      </c>
      <c r="Y223" s="549">
        <f t="shared" si="74"/>
        <v>108017986.91537511</v>
      </c>
      <c r="Z223" s="549">
        <f t="shared" si="74"/>
        <v>99613928.914656267</v>
      </c>
      <c r="AA223" s="549">
        <f t="shared" si="74"/>
        <v>91337949.999059945</v>
      </c>
      <c r="AB223" s="597">
        <f t="shared" si="74"/>
        <v>83241102.024107769</v>
      </c>
      <c r="AC223" s="296"/>
    </row>
    <row r="224" spans="1:29" ht="15.75" thickBot="1">
      <c r="B224" s="276" t="s">
        <v>54</v>
      </c>
      <c r="C224" s="405">
        <f t="shared" ref="C224:AB224" si="75">((((D51-D55)*1000)*1.06)/0.74)*$E$218</f>
        <v>8616985.4363597948</v>
      </c>
      <c r="D224" s="598">
        <f t="shared" si="75"/>
        <v>17596167.877474412</v>
      </c>
      <c r="E224" s="598">
        <f t="shared" si="75"/>
        <v>27005153.570200644</v>
      </c>
      <c r="F224" s="598">
        <f t="shared" si="75"/>
        <v>36514581.64564345</v>
      </c>
      <c r="G224" s="598">
        <f t="shared" si="75"/>
        <v>46082917.040116437</v>
      </c>
      <c r="H224" s="598">
        <f t="shared" si="75"/>
        <v>56062768.677678123</v>
      </c>
      <c r="I224" s="598">
        <f t="shared" si="75"/>
        <v>65489753.765928783</v>
      </c>
      <c r="J224" s="598">
        <f t="shared" si="75"/>
        <v>75973157.282493323</v>
      </c>
      <c r="K224" s="598">
        <f t="shared" si="75"/>
        <v>86572961.19246155</v>
      </c>
      <c r="L224" s="598">
        <f t="shared" si="75"/>
        <v>97142085.77769728</v>
      </c>
      <c r="M224" s="598">
        <f t="shared" si="75"/>
        <v>107447437.18087646</v>
      </c>
      <c r="N224" s="598">
        <f t="shared" si="75"/>
        <v>117457455.9387897</v>
      </c>
      <c r="O224" s="598">
        <f t="shared" si="75"/>
        <v>127051214.08387725</v>
      </c>
      <c r="P224" s="598">
        <f t="shared" si="75"/>
        <v>136246898.49871522</v>
      </c>
      <c r="Q224" s="598">
        <f t="shared" si="75"/>
        <v>144871662.61920407</v>
      </c>
      <c r="R224" s="598">
        <f t="shared" si="75"/>
        <v>152964537.06206328</v>
      </c>
      <c r="S224" s="598">
        <f t="shared" si="75"/>
        <v>148873185.07535085</v>
      </c>
      <c r="T224" s="598">
        <f t="shared" si="75"/>
        <v>143644554.88233024</v>
      </c>
      <c r="U224" s="598">
        <f t="shared" si="75"/>
        <v>137651524.32435328</v>
      </c>
      <c r="V224" s="598">
        <f t="shared" si="75"/>
        <v>131048508.81147978</v>
      </c>
      <c r="W224" s="598">
        <f t="shared" si="75"/>
        <v>123769624.26314203</v>
      </c>
      <c r="X224" s="598">
        <f t="shared" si="75"/>
        <v>116171404.1236061</v>
      </c>
      <c r="Y224" s="598">
        <f t="shared" si="75"/>
        <v>108017986.91537511</v>
      </c>
      <c r="Z224" s="598">
        <f t="shared" si="75"/>
        <v>99613928.914656267</v>
      </c>
      <c r="AA224" s="598">
        <f t="shared" si="75"/>
        <v>91337949.999059945</v>
      </c>
      <c r="AB224" s="599">
        <f t="shared" si="75"/>
        <v>83241102.024107769</v>
      </c>
      <c r="AC224" s="112"/>
    </row>
    <row r="225" spans="2:29" ht="15.75" thickBot="1">
      <c r="C225" s="98"/>
      <c r="D225" s="98"/>
      <c r="E225" s="98"/>
      <c r="F225" s="98"/>
      <c r="AC225" s="99"/>
    </row>
    <row r="226" spans="2:29">
      <c r="C226" s="241"/>
      <c r="D226" s="543" t="s">
        <v>158</v>
      </c>
      <c r="E226" s="544"/>
      <c r="F226" s="545"/>
    </row>
    <row r="227" spans="2:29" ht="15.75" thickBot="1">
      <c r="C227" s="238">
        <v>0.1</v>
      </c>
      <c r="D227" s="239">
        <v>0.06</v>
      </c>
      <c r="E227" s="239">
        <v>0.03</v>
      </c>
      <c r="F227" s="240">
        <v>0</v>
      </c>
      <c r="H227" s="546"/>
    </row>
    <row r="228" spans="2:29">
      <c r="B228" s="274" t="s">
        <v>48</v>
      </c>
      <c r="C228" s="552">
        <f>NPV(10%,D221:AB221)+C221</f>
        <v>127841497.02038784</v>
      </c>
      <c r="D228" s="253">
        <f>NPV(6%,D221:AB221)+C221</f>
        <v>195040650.68597734</v>
      </c>
      <c r="E228" s="253">
        <f>NPV(3%,D221:AB221)+C221</f>
        <v>280360358.37279111</v>
      </c>
      <c r="F228" s="254">
        <f>NPV(0%,D221:AB221)+C221</f>
        <v>420892141.87977707</v>
      </c>
      <c r="H228" s="546"/>
    </row>
    <row r="229" spans="2:29">
      <c r="B229" s="275" t="s">
        <v>53</v>
      </c>
      <c r="C229" s="553">
        <f>NPV(10%,D222:AB222)+C222</f>
        <v>403577410.66795003</v>
      </c>
      <c r="D229" s="242">
        <f>NPV(6%,D222:AB222)+C222</f>
        <v>611179815.91697276</v>
      </c>
      <c r="E229" s="242">
        <f>NPV(3%,D222:AB222)+C222</f>
        <v>873415673.81967759</v>
      </c>
      <c r="F229" s="244">
        <f>NPV(0%,D222:AB222)+C222</f>
        <v>1303463703.939579</v>
      </c>
    </row>
    <row r="230" spans="2:29">
      <c r="B230" s="275" t="s">
        <v>160</v>
      </c>
      <c r="C230" s="553">
        <f>NPV(10%,D223:AB223)+C223</f>
        <v>708031563.6504705</v>
      </c>
      <c r="D230" s="242">
        <f>NPV(6%,D223:AB223)+C223</f>
        <v>1107113077.5937057</v>
      </c>
      <c r="E230" s="242">
        <f>NPV(3%,D223:AB223)+C223</f>
        <v>1620249525.766248</v>
      </c>
      <c r="F230" s="244">
        <f>NPV(0%,D223:AB223)+C223</f>
        <v>2474178391.6129465</v>
      </c>
    </row>
    <row r="231" spans="2:29" ht="15.75" thickBot="1">
      <c r="B231" s="276" t="s">
        <v>54</v>
      </c>
      <c r="C231" s="554">
        <f t="shared" ref="C231" si="76">NPV(10%,D224:AB224)+C224</f>
        <v>717949403.53715324</v>
      </c>
      <c r="D231" s="245">
        <f t="shared" ref="D231" si="77">NPV(6%,D224:AB224)+C224</f>
        <v>1117868595.3870964</v>
      </c>
      <c r="E231" s="245">
        <f t="shared" ref="E231" si="78">NPV(3%,D224:AB224)+C224</f>
        <v>1631724395.5164006</v>
      </c>
      <c r="F231" s="246">
        <f t="shared" ref="F231" si="79">NPV(0%,D224:AB224)+C224</f>
        <v>2486465506.9830413</v>
      </c>
      <c r="H231" s="546"/>
    </row>
    <row r="232" spans="2:29" ht="15.75" thickBot="1"/>
    <row r="233" spans="2:29">
      <c r="B233" s="213"/>
      <c r="C233" s="197"/>
      <c r="D233" s="197"/>
      <c r="E233" s="197"/>
      <c r="F233" s="197"/>
      <c r="G233" s="197"/>
      <c r="H233" s="197"/>
      <c r="I233" s="197"/>
      <c r="J233" s="197"/>
      <c r="K233" s="197"/>
      <c r="L233" s="197"/>
      <c r="M233" s="197"/>
      <c r="N233" s="197"/>
      <c r="O233" s="197"/>
      <c r="P233" s="197"/>
      <c r="Q233" s="197"/>
      <c r="R233" s="198"/>
    </row>
    <row r="234" spans="2:29" ht="18.75">
      <c r="B234" s="209" t="s">
        <v>115</v>
      </c>
      <c r="C234" s="200"/>
      <c r="D234" s="200"/>
      <c r="E234" s="200"/>
      <c r="F234" s="200"/>
      <c r="G234" s="200"/>
      <c r="H234" s="200"/>
      <c r="I234" s="200"/>
      <c r="J234" s="200"/>
      <c r="K234" s="200"/>
      <c r="L234" s="200"/>
      <c r="M234" s="200"/>
      <c r="N234" s="200"/>
      <c r="O234" s="200"/>
      <c r="P234" s="200"/>
      <c r="Q234" s="200"/>
      <c r="R234" s="201"/>
    </row>
    <row r="235" spans="2:29" s="247" customFormat="1" ht="15.75">
      <c r="B235" s="251" t="s">
        <v>116</v>
      </c>
      <c r="C235" s="248"/>
      <c r="D235" s="248"/>
      <c r="E235" s="248"/>
      <c r="F235" s="248"/>
      <c r="G235" s="248"/>
      <c r="H235" s="248"/>
      <c r="I235" s="248"/>
      <c r="J235" s="248"/>
      <c r="K235" s="248"/>
      <c r="L235" s="248"/>
      <c r="M235" s="248"/>
      <c r="N235" s="248"/>
      <c r="O235" s="248"/>
      <c r="P235" s="248"/>
      <c r="Q235" s="248"/>
      <c r="R235" s="249"/>
    </row>
    <row r="236" spans="2:29">
      <c r="B236" s="199" t="s">
        <v>117</v>
      </c>
      <c r="C236" s="200"/>
      <c r="D236" s="200"/>
      <c r="E236" s="200"/>
      <c r="F236" s="200"/>
      <c r="G236" s="200"/>
      <c r="H236" s="200"/>
      <c r="I236" s="200"/>
      <c r="J236" s="200"/>
      <c r="K236" s="200"/>
      <c r="L236" s="200"/>
      <c r="M236" s="200"/>
      <c r="N236" s="200"/>
      <c r="O236" s="200"/>
      <c r="P236" s="200"/>
      <c r="Q236" s="200"/>
      <c r="R236" s="201"/>
    </row>
    <row r="237" spans="2:29">
      <c r="B237" s="199" t="s">
        <v>125</v>
      </c>
      <c r="C237" s="200"/>
      <c r="D237" s="200"/>
      <c r="E237" s="200"/>
      <c r="F237" s="200"/>
      <c r="G237" s="200"/>
      <c r="H237" s="200"/>
      <c r="I237" s="200"/>
      <c r="J237" s="200"/>
      <c r="K237" s="200"/>
      <c r="L237" s="200"/>
      <c r="M237" s="200"/>
      <c r="N237" s="200"/>
      <c r="O237" s="200"/>
      <c r="P237" s="200"/>
      <c r="Q237" s="200"/>
      <c r="R237" s="201"/>
    </row>
    <row r="238" spans="2:29">
      <c r="B238" s="199"/>
      <c r="C238" s="200"/>
      <c r="D238" s="200"/>
      <c r="E238" s="200"/>
      <c r="F238" s="200"/>
      <c r="G238" s="200"/>
      <c r="H238" s="200"/>
      <c r="I238" s="200"/>
      <c r="J238" s="200"/>
      <c r="K238" s="200"/>
      <c r="L238" s="200"/>
      <c r="M238" s="200"/>
      <c r="N238" s="200"/>
      <c r="O238" s="200"/>
      <c r="P238" s="200"/>
      <c r="Q238" s="200"/>
      <c r="R238" s="201"/>
    </row>
    <row r="239" spans="2:29" ht="15.75" thickBot="1">
      <c r="B239" s="203"/>
      <c r="C239" s="204"/>
      <c r="D239" s="204"/>
      <c r="E239" s="204"/>
      <c r="F239" s="204"/>
      <c r="G239" s="204"/>
      <c r="H239" s="204"/>
      <c r="I239" s="204"/>
      <c r="J239" s="204"/>
      <c r="K239" s="204"/>
      <c r="L239" s="204"/>
      <c r="M239" s="204"/>
      <c r="N239" s="204"/>
      <c r="O239" s="204"/>
      <c r="P239" s="204"/>
      <c r="Q239" s="204"/>
      <c r="R239" s="205"/>
    </row>
    <row r="240" spans="2:29" ht="15.75" thickBot="1"/>
    <row r="241" spans="2:28" ht="15.75" thickBot="1">
      <c r="E241" s="225" t="s">
        <v>90</v>
      </c>
      <c r="F241" s="224">
        <v>15</v>
      </c>
      <c r="G241" s="220" t="s">
        <v>94</v>
      </c>
    </row>
    <row r="242" spans="2:28" ht="15.75" thickBot="1">
      <c r="B242" s="261" t="s">
        <v>89</v>
      </c>
      <c r="C242" s="262"/>
      <c r="D242" s="184"/>
      <c r="E242" s="184"/>
      <c r="F242" s="196"/>
      <c r="G242" s="184"/>
      <c r="H242" s="184"/>
      <c r="I242" s="184"/>
      <c r="J242" s="184"/>
      <c r="K242" s="184"/>
      <c r="L242" s="184"/>
      <c r="M242" s="184"/>
      <c r="N242" s="184"/>
      <c r="O242" s="184"/>
      <c r="P242" s="184"/>
      <c r="Q242" s="184"/>
      <c r="R242" s="184"/>
    </row>
    <row r="243" spans="2:28">
      <c r="B243" s="264"/>
      <c r="C243" s="194">
        <v>2015</v>
      </c>
      <c r="D243" s="194">
        <v>2016</v>
      </c>
      <c r="E243" s="194">
        <v>2017</v>
      </c>
      <c r="F243" s="194">
        <v>2018</v>
      </c>
      <c r="G243" s="194">
        <v>2019</v>
      </c>
      <c r="H243" s="194">
        <v>2020</v>
      </c>
      <c r="I243" s="194">
        <v>2021</v>
      </c>
      <c r="J243" s="194">
        <v>2022</v>
      </c>
      <c r="K243" s="194">
        <v>2023</v>
      </c>
      <c r="L243" s="194">
        <v>2024</v>
      </c>
      <c r="M243" s="194">
        <v>2025</v>
      </c>
      <c r="N243" s="194">
        <v>2026</v>
      </c>
      <c r="O243" s="194">
        <v>2027</v>
      </c>
      <c r="P243" s="194">
        <v>2028</v>
      </c>
      <c r="Q243" s="194">
        <v>2029</v>
      </c>
      <c r="R243" s="195">
        <v>2030</v>
      </c>
      <c r="S243" s="194">
        <v>2031</v>
      </c>
      <c r="T243" s="195">
        <v>2032</v>
      </c>
      <c r="U243" s="194">
        <v>2033</v>
      </c>
      <c r="V243" s="195">
        <v>2034</v>
      </c>
      <c r="W243" s="194">
        <v>2035</v>
      </c>
      <c r="X243" s="194">
        <v>2036</v>
      </c>
      <c r="Y243" s="195">
        <v>2037</v>
      </c>
      <c r="Z243" s="194">
        <v>2038</v>
      </c>
      <c r="AA243" s="195">
        <v>2039</v>
      </c>
      <c r="AB243" s="194">
        <v>2040</v>
      </c>
    </row>
    <row r="244" spans="2:28">
      <c r="B244" s="265" t="s">
        <v>48</v>
      </c>
      <c r="C244" s="263">
        <f t="shared" ref="C244:AB244" si="80">(((((D$51-D52)*1.06)*44400)*14.2)/1000000)*$F$241</f>
        <v>8697.5185683265845</v>
      </c>
      <c r="D244" s="263">
        <f t="shared" si="80"/>
        <v>17198.492165051612</v>
      </c>
      <c r="E244" s="263">
        <f t="shared" si="80"/>
        <v>25851.54209460269</v>
      </c>
      <c r="F244" s="263">
        <f t="shared" si="80"/>
        <v>34635.53217787241</v>
      </c>
      <c r="G244" s="263">
        <f t="shared" si="80"/>
        <v>43466.083788399446</v>
      </c>
      <c r="H244" s="263">
        <f t="shared" si="80"/>
        <v>52806.465138603133</v>
      </c>
      <c r="I244" s="263">
        <f t="shared" si="80"/>
        <v>59964.188518536554</v>
      </c>
      <c r="J244" s="263">
        <f t="shared" si="80"/>
        <v>67330.642393590315</v>
      </c>
      <c r="K244" s="263">
        <f t="shared" si="80"/>
        <v>74635.938009641846</v>
      </c>
      <c r="L244" s="263">
        <f t="shared" si="80"/>
        <v>81795.518736604325</v>
      </c>
      <c r="M244" s="263">
        <f t="shared" si="80"/>
        <v>89101.077515527781</v>
      </c>
      <c r="N244" s="263">
        <f t="shared" si="80"/>
        <v>95345.776466024574</v>
      </c>
      <c r="O244" s="263">
        <f t="shared" si="80"/>
        <v>101177.08323062537</v>
      </c>
      <c r="P244" s="263">
        <f t="shared" si="80"/>
        <v>107289.04535989799</v>
      </c>
      <c r="Q244" s="263">
        <f t="shared" si="80"/>
        <v>112547.84633582825</v>
      </c>
      <c r="R244" s="266">
        <f t="shared" si="80"/>
        <v>117742.15433838406</v>
      </c>
      <c r="S244" s="266">
        <f t="shared" si="80"/>
        <v>113031.6620195651</v>
      </c>
      <c r="T244" s="266">
        <f t="shared" si="80"/>
        <v>108269.36989106369</v>
      </c>
      <c r="U244" s="266">
        <f t="shared" si="80"/>
        <v>103084.72891499325</v>
      </c>
      <c r="V244" s="266">
        <f t="shared" si="80"/>
        <v>97381.483326186077</v>
      </c>
      <c r="W244" s="266">
        <f t="shared" si="80"/>
        <v>91415.496305628098</v>
      </c>
      <c r="X244" s="266">
        <f t="shared" si="80"/>
        <v>85202.103420066021</v>
      </c>
      <c r="Y244" s="266">
        <f t="shared" si="80"/>
        <v>78629.957082030422</v>
      </c>
      <c r="Z244" s="266">
        <f t="shared" si="80"/>
        <v>72094.73104256166</v>
      </c>
      <c r="AA244" s="266">
        <f t="shared" si="80"/>
        <v>65587.26377171748</v>
      </c>
      <c r="AB244" s="266">
        <f t="shared" si="80"/>
        <v>59412.473720148548</v>
      </c>
    </row>
    <row r="245" spans="2:28">
      <c r="B245" s="265" t="s">
        <v>53</v>
      </c>
      <c r="C245" s="263">
        <f t="shared" ref="C245:AB245" si="81">(((((D$51-D53)*1.06)*44400)*14.2)/1000000)*$F$241</f>
        <v>28956.3874744725</v>
      </c>
      <c r="D245" s="263">
        <f t="shared" si="81"/>
        <v>57148.654519023839</v>
      </c>
      <c r="E245" s="263">
        <f t="shared" si="81"/>
        <v>85413.592928042504</v>
      </c>
      <c r="F245" s="263">
        <f t="shared" si="81"/>
        <v>113814.56247514815</v>
      </c>
      <c r="G245" s="263">
        <f t="shared" si="81"/>
        <v>142385.43762146839</v>
      </c>
      <c r="H245" s="263">
        <f t="shared" si="81"/>
        <v>171662.02065214267</v>
      </c>
      <c r="I245" s="263">
        <f t="shared" si="81"/>
        <v>194683.10258629816</v>
      </c>
      <c r="J245" s="263">
        <f t="shared" si="81"/>
        <v>217415.62611636869</v>
      </c>
      <c r="K245" s="263">
        <f t="shared" si="81"/>
        <v>239779.47508923241</v>
      </c>
      <c r="L245" s="263">
        <f t="shared" si="81"/>
        <v>261755.12327995364</v>
      </c>
      <c r="M245" s="263">
        <f t="shared" si="81"/>
        <v>282730.78799808526</v>
      </c>
      <c r="N245" s="263">
        <f t="shared" si="81"/>
        <v>300413.02482383163</v>
      </c>
      <c r="O245" s="263">
        <f t="shared" si="81"/>
        <v>317023.73978509958</v>
      </c>
      <c r="P245" s="263">
        <f t="shared" si="81"/>
        <v>332850.64692706976</v>
      </c>
      <c r="Q245" s="263">
        <f t="shared" si="81"/>
        <v>347311.47033390729</v>
      </c>
      <c r="R245" s="266">
        <f t="shared" si="81"/>
        <v>360563.56140279793</v>
      </c>
      <c r="S245" s="266">
        <f t="shared" si="81"/>
        <v>345494.20174836286</v>
      </c>
      <c r="T245" s="266">
        <f t="shared" si="81"/>
        <v>329194.46242152504</v>
      </c>
      <c r="U245" s="266">
        <f t="shared" si="81"/>
        <v>311749.65389645967</v>
      </c>
      <c r="V245" s="266">
        <f t="shared" si="81"/>
        <v>293525.15959588834</v>
      </c>
      <c r="W245" s="266">
        <f t="shared" si="81"/>
        <v>274266.70106655167</v>
      </c>
      <c r="X245" s="266">
        <f t="shared" si="81"/>
        <v>254743.07808276755</v>
      </c>
      <c r="Y245" s="266">
        <f t="shared" si="81"/>
        <v>234561.3271181437</v>
      </c>
      <c r="Z245" s="266">
        <f t="shared" si="81"/>
        <v>214182.4327091751</v>
      </c>
      <c r="AA245" s="266">
        <f t="shared" si="81"/>
        <v>194383.1910171929</v>
      </c>
      <c r="AB245" s="266">
        <f t="shared" si="81"/>
        <v>175370.26917370217</v>
      </c>
    </row>
    <row r="246" spans="2:28">
      <c r="B246" s="458" t="s">
        <v>160</v>
      </c>
      <c r="C246" s="263">
        <f t="shared" ref="C246:AB246" si="82">(((((D$51-D54)*1.06)*44400)*14.2)/1000000)*$F$241</f>
        <v>33784.814094001107</v>
      </c>
      <c r="D246" s="263">
        <f t="shared" si="82"/>
        <v>71066.065941252367</v>
      </c>
      <c r="E246" s="263">
        <f t="shared" si="82"/>
        <v>112398.74326964509</v>
      </c>
      <c r="F246" s="263">
        <f t="shared" si="82"/>
        <v>157352.16575356122</v>
      </c>
      <c r="G246" s="263">
        <f t="shared" si="82"/>
        <v>205736.43021604299</v>
      </c>
      <c r="H246" s="263">
        <f t="shared" si="82"/>
        <v>257555.07087376609</v>
      </c>
      <c r="I246" s="263">
        <f t="shared" si="82"/>
        <v>305545.85166213656</v>
      </c>
      <c r="J246" s="263">
        <f t="shared" si="82"/>
        <v>354456.71590565133</v>
      </c>
      <c r="K246" s="263">
        <f t="shared" si="82"/>
        <v>403910.65223741136</v>
      </c>
      <c r="L246" s="263">
        <f t="shared" si="82"/>
        <v>453221.452584307</v>
      </c>
      <c r="M246" s="263">
        <f t="shared" si="82"/>
        <v>501301.6054341126</v>
      </c>
      <c r="N246" s="263">
        <f t="shared" si="82"/>
        <v>548003.86847013212</v>
      </c>
      <c r="O246" s="263">
        <f t="shared" si="82"/>
        <v>592764.04597146169</v>
      </c>
      <c r="P246" s="263">
        <f t="shared" si="82"/>
        <v>635666.98978447763</v>
      </c>
      <c r="Q246" s="263">
        <f t="shared" si="82"/>
        <v>675906.27527635265</v>
      </c>
      <c r="R246" s="266">
        <f t="shared" si="82"/>
        <v>713664.00181898358</v>
      </c>
      <c r="S246" s="266">
        <f t="shared" si="82"/>
        <v>694575.58637467329</v>
      </c>
      <c r="T246" s="266">
        <f t="shared" si="82"/>
        <v>670181.14032036543</v>
      </c>
      <c r="U246" s="266">
        <f t="shared" si="82"/>
        <v>642220.34461453487</v>
      </c>
      <c r="V246" s="266">
        <f t="shared" si="82"/>
        <v>611413.63238241698</v>
      </c>
      <c r="W246" s="266">
        <f t="shared" si="82"/>
        <v>577453.61802015081</v>
      </c>
      <c r="X246" s="266">
        <f t="shared" si="82"/>
        <v>542003.72685169848</v>
      </c>
      <c r="Y246" s="266">
        <f t="shared" si="82"/>
        <v>503963.53488900216</v>
      </c>
      <c r="Z246" s="266">
        <f t="shared" si="82"/>
        <v>464753.96527563233</v>
      </c>
      <c r="AA246" s="266">
        <f t="shared" si="82"/>
        <v>426141.95529401395</v>
      </c>
      <c r="AB246" s="266">
        <f t="shared" si="82"/>
        <v>388365.69003078004</v>
      </c>
    </row>
    <row r="247" spans="2:28" ht="15.75" thickBot="1">
      <c r="B247" s="267" t="s">
        <v>54</v>
      </c>
      <c r="C247" s="268">
        <f t="shared" ref="C247:AB247" si="83">(((((D$51-D55)*1.06)*44400)*14.2)/1000000)*$F$241</f>
        <v>40202.993636579318</v>
      </c>
      <c r="D247" s="268">
        <f t="shared" si="83"/>
        <v>82095.836233086491</v>
      </c>
      <c r="E247" s="268">
        <f t="shared" si="83"/>
        <v>125993.94824975674</v>
      </c>
      <c r="F247" s="268">
        <f t="shared" si="83"/>
        <v>170360.6794259951</v>
      </c>
      <c r="G247" s="268">
        <f t="shared" si="83"/>
        <v>215002.24576234931</v>
      </c>
      <c r="H247" s="268">
        <f t="shared" si="83"/>
        <v>261563.76252967844</v>
      </c>
      <c r="I247" s="268">
        <f t="shared" si="83"/>
        <v>305545.85166213656</v>
      </c>
      <c r="J247" s="268">
        <f t="shared" si="83"/>
        <v>354456.71590565133</v>
      </c>
      <c r="K247" s="268">
        <f t="shared" si="83"/>
        <v>403910.65223741136</v>
      </c>
      <c r="L247" s="268">
        <f t="shared" si="83"/>
        <v>453221.452584307</v>
      </c>
      <c r="M247" s="268">
        <f t="shared" si="83"/>
        <v>501301.6054341126</v>
      </c>
      <c r="N247" s="268">
        <f t="shared" si="83"/>
        <v>548003.86847013212</v>
      </c>
      <c r="O247" s="268">
        <f t="shared" si="83"/>
        <v>592764.04597146169</v>
      </c>
      <c r="P247" s="268">
        <f t="shared" si="83"/>
        <v>635666.98978447763</v>
      </c>
      <c r="Q247" s="268">
        <f t="shared" si="83"/>
        <v>675906.27527635265</v>
      </c>
      <c r="R247" s="269">
        <f t="shared" si="83"/>
        <v>713664.00181898358</v>
      </c>
      <c r="S247" s="269">
        <f t="shared" si="83"/>
        <v>694575.58637467329</v>
      </c>
      <c r="T247" s="269">
        <f t="shared" si="83"/>
        <v>670181.14032036543</v>
      </c>
      <c r="U247" s="269">
        <f t="shared" si="83"/>
        <v>642220.34461453487</v>
      </c>
      <c r="V247" s="269">
        <f t="shared" si="83"/>
        <v>611413.63238241698</v>
      </c>
      <c r="W247" s="269">
        <f t="shared" si="83"/>
        <v>577453.61802015081</v>
      </c>
      <c r="X247" s="269">
        <f t="shared" si="83"/>
        <v>542003.72685169848</v>
      </c>
      <c r="Y247" s="269">
        <f t="shared" si="83"/>
        <v>503963.53488900216</v>
      </c>
      <c r="Z247" s="269">
        <f t="shared" si="83"/>
        <v>464753.96527563233</v>
      </c>
      <c r="AA247" s="269">
        <f t="shared" si="83"/>
        <v>426141.95529401395</v>
      </c>
      <c r="AB247" s="269">
        <f t="shared" si="83"/>
        <v>388365.69003078004</v>
      </c>
    </row>
    <row r="248" spans="2:28" s="99" customFormat="1" ht="15.75" thickBot="1">
      <c r="B248" s="112"/>
      <c r="C248" s="250"/>
      <c r="D248" s="250"/>
      <c r="E248" s="250"/>
      <c r="F248" s="250"/>
      <c r="G248" s="250"/>
      <c r="H248" s="250"/>
      <c r="I248" s="250"/>
      <c r="J248" s="250"/>
      <c r="K248" s="250"/>
      <c r="L248" s="250"/>
      <c r="M248" s="250"/>
      <c r="N248" s="250"/>
      <c r="O248" s="250"/>
      <c r="P248" s="250"/>
      <c r="Q248" s="250"/>
      <c r="R248" s="250"/>
    </row>
    <row r="249" spans="2:28">
      <c r="B249" s="471" t="s">
        <v>232</v>
      </c>
      <c r="C249" s="241"/>
      <c r="D249" s="255" t="s">
        <v>159</v>
      </c>
      <c r="E249" s="544"/>
      <c r="F249" s="237"/>
    </row>
    <row r="250" spans="2:28" ht="15.75" thickBot="1">
      <c r="C250" s="238">
        <v>0.1</v>
      </c>
      <c r="D250" s="239">
        <v>0.06</v>
      </c>
      <c r="E250" s="239">
        <v>0.03</v>
      </c>
      <c r="F250" s="240">
        <v>0</v>
      </c>
    </row>
    <row r="251" spans="2:28">
      <c r="B251" s="256" t="s">
        <v>48</v>
      </c>
      <c r="C251" s="259">
        <f>NPV(10%,D244:AB244)+C244</f>
        <v>596451.15210646461</v>
      </c>
      <c r="D251" s="253">
        <f>NPV(6%,D244:AB244)+C244</f>
        <v>909972.29788926325</v>
      </c>
      <c r="E251" s="243">
        <f>NPV(3%,D244:AB244)+C244</f>
        <v>1308035.830726892</v>
      </c>
      <c r="F251" s="550">
        <f>NPV(0%,D244:AB244)+C244</f>
        <v>1963694.1743314771</v>
      </c>
    </row>
    <row r="252" spans="2:28">
      <c r="B252" s="257" t="s">
        <v>53</v>
      </c>
      <c r="C252" s="252">
        <f>NPV(10%,D245:AB245)+C245</f>
        <v>1882911.395496675</v>
      </c>
      <c r="D252" s="242">
        <f>NPV(6%,D245:AB245)+C245</f>
        <v>2851491.212511064</v>
      </c>
      <c r="E252" s="242">
        <f>NPV(3%,D245:AB245)+C245</f>
        <v>4074966.2438207455</v>
      </c>
      <c r="F252" s="551">
        <f>NPV(0%,D245:AB245)+C245</f>
        <v>6081377.6908427104</v>
      </c>
    </row>
    <row r="253" spans="2:28">
      <c r="B253" s="445" t="s">
        <v>160</v>
      </c>
      <c r="C253" s="252">
        <f>NPV(10%,D246:AB246)+C246</f>
        <v>3303358.0778525798</v>
      </c>
      <c r="D253" s="242">
        <f>NPV(6%,D246:AB246)+C246</f>
        <v>5165293.6333934655</v>
      </c>
      <c r="E253" s="242">
        <f>NPV(3%,D246:AB246)+C246</f>
        <v>7559358.4154377701</v>
      </c>
      <c r="F253" s="551">
        <f>NPV(0%,D246:AB246)+C246</f>
        <v>11543407.943346562</v>
      </c>
    </row>
    <row r="254" spans="2:28" ht="15.75" thickBot="1">
      <c r="B254" s="258" t="s">
        <v>54</v>
      </c>
      <c r="C254" s="252">
        <f t="shared" ref="C254" si="84">NPV(10%,D247:AB247)+C247</f>
        <v>3349630.2755715726</v>
      </c>
      <c r="D254" s="242">
        <f t="shared" ref="D254" si="85">NPV(6%,D247:AB247)+C247</f>
        <v>5215474.060945455</v>
      </c>
      <c r="E254" s="242">
        <f t="shared" ref="E254" si="86">NPV(3%,D247:AB247)+C247</f>
        <v>7612895.0169503316</v>
      </c>
      <c r="F254" s="551">
        <f t="shared" ref="F254" si="87">NPV(0%,D247:AB247)+C247</f>
        <v>11600734.119035738</v>
      </c>
    </row>
    <row r="255" spans="2:28" ht="15.75" thickBot="1"/>
    <row r="256" spans="2:28" ht="15.75" thickBot="1">
      <c r="B256" s="261" t="s">
        <v>91</v>
      </c>
      <c r="C256" s="262"/>
      <c r="D256" s="184"/>
      <c r="E256" s="184"/>
      <c r="F256" s="196"/>
      <c r="G256" s="184"/>
      <c r="H256" s="184"/>
      <c r="I256" s="184"/>
      <c r="J256" s="184"/>
      <c r="K256" s="184"/>
      <c r="L256" s="184"/>
      <c r="M256" s="184"/>
      <c r="N256" s="184"/>
      <c r="O256" s="184"/>
      <c r="P256" s="184"/>
      <c r="Q256" s="184"/>
      <c r="R256" s="184"/>
    </row>
    <row r="257" spans="2:28">
      <c r="B257" s="264"/>
      <c r="C257" s="194">
        <v>2015</v>
      </c>
      <c r="D257" s="194">
        <v>2016</v>
      </c>
      <c r="E257" s="194">
        <v>2017</v>
      </c>
      <c r="F257" s="194">
        <v>2018</v>
      </c>
      <c r="G257" s="194">
        <v>2019</v>
      </c>
      <c r="H257" s="194">
        <v>2020</v>
      </c>
      <c r="I257" s="194">
        <v>2021</v>
      </c>
      <c r="J257" s="194">
        <v>2022</v>
      </c>
      <c r="K257" s="194">
        <v>2023</v>
      </c>
      <c r="L257" s="194">
        <v>2024</v>
      </c>
      <c r="M257" s="194">
        <v>2025</v>
      </c>
      <c r="N257" s="194">
        <v>2026</v>
      </c>
      <c r="O257" s="194">
        <v>2027</v>
      </c>
      <c r="P257" s="194">
        <v>2028</v>
      </c>
      <c r="Q257" s="194">
        <v>2029</v>
      </c>
      <c r="R257" s="195">
        <v>2030</v>
      </c>
      <c r="S257" s="194">
        <v>2031</v>
      </c>
      <c r="T257" s="195">
        <v>2032</v>
      </c>
      <c r="U257" s="194">
        <v>2033</v>
      </c>
      <c r="V257" s="195">
        <v>2034</v>
      </c>
      <c r="W257" s="194">
        <v>2035</v>
      </c>
      <c r="X257" s="195">
        <v>2036</v>
      </c>
      <c r="Y257" s="194">
        <v>2037</v>
      </c>
      <c r="Z257" s="195">
        <v>2038</v>
      </c>
      <c r="AA257" s="194">
        <v>2039</v>
      </c>
      <c r="AB257" s="195">
        <v>2040</v>
      </c>
    </row>
    <row r="258" spans="2:28">
      <c r="B258" s="265" t="s">
        <v>48</v>
      </c>
      <c r="C258" s="270">
        <f t="shared" ref="C258:AB258" si="88">(((((D$51-D52)*1.06)*1000)*44.4)*14.2)/1000000</f>
        <v>579.83457122177231</v>
      </c>
      <c r="D258" s="270">
        <f t="shared" si="88"/>
        <v>1146.5661443367742</v>
      </c>
      <c r="E258" s="270">
        <f t="shared" si="88"/>
        <v>1723.4361396401794</v>
      </c>
      <c r="F258" s="270">
        <f t="shared" si="88"/>
        <v>2309.0354785248269</v>
      </c>
      <c r="G258" s="270">
        <f t="shared" si="88"/>
        <v>2897.7389192266296</v>
      </c>
      <c r="H258" s="270">
        <f t="shared" si="88"/>
        <v>3520.4310092402088</v>
      </c>
      <c r="I258" s="270">
        <f t="shared" si="88"/>
        <v>3997.6125679024367</v>
      </c>
      <c r="J258" s="270">
        <f t="shared" si="88"/>
        <v>4488.7094929060213</v>
      </c>
      <c r="K258" s="270">
        <f t="shared" si="88"/>
        <v>4975.7292006427897</v>
      </c>
      <c r="L258" s="270">
        <f t="shared" si="88"/>
        <v>5453.0345824402884</v>
      </c>
      <c r="M258" s="270">
        <f t="shared" si="88"/>
        <v>5940.0718343685185</v>
      </c>
      <c r="N258" s="270">
        <f t="shared" si="88"/>
        <v>6356.3850977349712</v>
      </c>
      <c r="O258" s="270">
        <f t="shared" si="88"/>
        <v>6745.1388820416914</v>
      </c>
      <c r="P258" s="270">
        <f t="shared" si="88"/>
        <v>7152.6030239931997</v>
      </c>
      <c r="Q258" s="270">
        <f t="shared" si="88"/>
        <v>7503.1897557218836</v>
      </c>
      <c r="R258" s="271">
        <f t="shared" si="88"/>
        <v>7849.4769558922708</v>
      </c>
      <c r="S258" s="271">
        <f t="shared" si="88"/>
        <v>7535.4441346376725</v>
      </c>
      <c r="T258" s="271">
        <f t="shared" si="88"/>
        <v>7217.9579927375789</v>
      </c>
      <c r="U258" s="271">
        <f t="shared" si="88"/>
        <v>6872.3152609995486</v>
      </c>
      <c r="V258" s="271">
        <f t="shared" si="88"/>
        <v>6492.0988884124054</v>
      </c>
      <c r="W258" s="271">
        <f t="shared" si="88"/>
        <v>6094.366420375206</v>
      </c>
      <c r="X258" s="271">
        <f t="shared" si="88"/>
        <v>5680.1402280044013</v>
      </c>
      <c r="Y258" s="271">
        <f t="shared" si="88"/>
        <v>5241.9971388020285</v>
      </c>
      <c r="Z258" s="271">
        <f t="shared" si="88"/>
        <v>4806.3154028374438</v>
      </c>
      <c r="AA258" s="271">
        <f t="shared" si="88"/>
        <v>4372.4842514478323</v>
      </c>
      <c r="AB258" s="271">
        <f t="shared" si="88"/>
        <v>3960.8315813432364</v>
      </c>
    </row>
    <row r="259" spans="2:28">
      <c r="B259" s="265" t="s">
        <v>53</v>
      </c>
      <c r="C259" s="270">
        <f t="shared" ref="C259:AB259" si="89">(((((D$51-D53)*1.06)*1000)*44.4)*14.2)/1000000</f>
        <v>1930.4258316314999</v>
      </c>
      <c r="D259" s="270">
        <f t="shared" si="89"/>
        <v>3809.9103012682558</v>
      </c>
      <c r="E259" s="270">
        <f t="shared" si="89"/>
        <v>5694.2395285361663</v>
      </c>
      <c r="F259" s="270">
        <f t="shared" si="89"/>
        <v>7587.6374983432106</v>
      </c>
      <c r="G259" s="270">
        <f t="shared" si="89"/>
        <v>9492.3625080978927</v>
      </c>
      <c r="H259" s="270">
        <f t="shared" si="89"/>
        <v>11444.134710142847</v>
      </c>
      <c r="I259" s="270">
        <f t="shared" si="89"/>
        <v>12978.87350575321</v>
      </c>
      <c r="J259" s="270">
        <f t="shared" si="89"/>
        <v>14494.375074424579</v>
      </c>
      <c r="K259" s="270">
        <f t="shared" si="89"/>
        <v>15985.298339282161</v>
      </c>
      <c r="L259" s="270">
        <f t="shared" si="89"/>
        <v>17450.341551996909</v>
      </c>
      <c r="M259" s="270">
        <f t="shared" si="89"/>
        <v>18848.71919987235</v>
      </c>
      <c r="N259" s="270">
        <f t="shared" si="89"/>
        <v>20027.53498825544</v>
      </c>
      <c r="O259" s="270">
        <f t="shared" si="89"/>
        <v>21134.915985673302</v>
      </c>
      <c r="P259" s="270">
        <f t="shared" si="89"/>
        <v>22190.043128471316</v>
      </c>
      <c r="Q259" s="270">
        <f t="shared" si="89"/>
        <v>23154.098022260485</v>
      </c>
      <c r="R259" s="271">
        <f t="shared" si="89"/>
        <v>24037.570760186529</v>
      </c>
      <c r="S259" s="271">
        <f t="shared" si="89"/>
        <v>23032.94678322419</v>
      </c>
      <c r="T259" s="271">
        <f t="shared" si="89"/>
        <v>21946.297494768336</v>
      </c>
      <c r="U259" s="271">
        <f t="shared" si="89"/>
        <v>20783.310259763977</v>
      </c>
      <c r="V259" s="271">
        <f t="shared" si="89"/>
        <v>19568.343973059222</v>
      </c>
      <c r="W259" s="271">
        <f t="shared" si="89"/>
        <v>18284.446737770111</v>
      </c>
      <c r="X259" s="271">
        <f t="shared" si="89"/>
        <v>16982.871872184503</v>
      </c>
      <c r="Y259" s="271">
        <f t="shared" si="89"/>
        <v>15637.421807876244</v>
      </c>
      <c r="Z259" s="271">
        <f t="shared" si="89"/>
        <v>14278.828847278339</v>
      </c>
      <c r="AA259" s="271">
        <f t="shared" si="89"/>
        <v>12958.879401146192</v>
      </c>
      <c r="AB259" s="271">
        <f t="shared" si="89"/>
        <v>11691.351278246811</v>
      </c>
    </row>
    <row r="260" spans="2:28">
      <c r="B260" s="458" t="s">
        <v>160</v>
      </c>
      <c r="C260" s="270">
        <f t="shared" ref="C260:AB260" si="90">(((((D$51-D54)*1.06)*1000)*44.4)*14.2)/1000000</f>
        <v>2252.3209396000739</v>
      </c>
      <c r="D260" s="270">
        <f t="shared" si="90"/>
        <v>4737.7377294168245</v>
      </c>
      <c r="E260" s="270">
        <f t="shared" si="90"/>
        <v>7493.249551309671</v>
      </c>
      <c r="F260" s="270">
        <f t="shared" si="90"/>
        <v>10490.144383570749</v>
      </c>
      <c r="G260" s="270">
        <f t="shared" si="90"/>
        <v>13715.762014402866</v>
      </c>
      <c r="H260" s="270">
        <f t="shared" si="90"/>
        <v>17170.338058251073</v>
      </c>
      <c r="I260" s="270">
        <f t="shared" si="90"/>
        <v>20369.723444142437</v>
      </c>
      <c r="J260" s="270">
        <f t="shared" si="90"/>
        <v>23630.447727043422</v>
      </c>
      <c r="K260" s="270">
        <f t="shared" si="90"/>
        <v>26927.376815827422</v>
      </c>
      <c r="L260" s="270">
        <f t="shared" si="90"/>
        <v>30214.763505620464</v>
      </c>
      <c r="M260" s="270">
        <f t="shared" si="90"/>
        <v>33420.107028940838</v>
      </c>
      <c r="N260" s="270">
        <f t="shared" si="90"/>
        <v>36533.591231342143</v>
      </c>
      <c r="O260" s="270">
        <f t="shared" si="90"/>
        <v>39517.603064764109</v>
      </c>
      <c r="P260" s="270">
        <f t="shared" si="90"/>
        <v>42377.799318965175</v>
      </c>
      <c r="Q260" s="270">
        <f t="shared" si="90"/>
        <v>45060.418351756845</v>
      </c>
      <c r="R260" s="271">
        <f t="shared" si="90"/>
        <v>47577.600121265568</v>
      </c>
      <c r="S260" s="271">
        <f t="shared" si="90"/>
        <v>46305.039091644881</v>
      </c>
      <c r="T260" s="271">
        <f t="shared" si="90"/>
        <v>44678.742688024366</v>
      </c>
      <c r="U260" s="271">
        <f t="shared" si="90"/>
        <v>42814.689640968994</v>
      </c>
      <c r="V260" s="271">
        <f t="shared" si="90"/>
        <v>40760.908825494465</v>
      </c>
      <c r="W260" s="271">
        <f t="shared" si="90"/>
        <v>38496.907868010057</v>
      </c>
      <c r="X260" s="271">
        <f t="shared" si="90"/>
        <v>36133.581790113232</v>
      </c>
      <c r="Y260" s="271">
        <f t="shared" si="90"/>
        <v>33597.568992600143</v>
      </c>
      <c r="Z260" s="271">
        <f t="shared" si="90"/>
        <v>30983.597685042158</v>
      </c>
      <c r="AA260" s="271">
        <f t="shared" si="90"/>
        <v>28409.463686267598</v>
      </c>
      <c r="AB260" s="271">
        <f t="shared" si="90"/>
        <v>25891.046002052</v>
      </c>
    </row>
    <row r="261" spans="2:28" ht="15.75" thickBot="1">
      <c r="B261" s="267" t="s">
        <v>54</v>
      </c>
      <c r="C261" s="272">
        <f t="shared" ref="C261:AB261" si="91">(((((D$51-D55)*1.06)*1000)*44.4)*14.2)/1000000</f>
        <v>2680.1995757719542</v>
      </c>
      <c r="D261" s="272">
        <f t="shared" si="91"/>
        <v>5473.0557488724316</v>
      </c>
      <c r="E261" s="272">
        <f t="shared" si="91"/>
        <v>8399.5965499837821</v>
      </c>
      <c r="F261" s="272">
        <f t="shared" si="91"/>
        <v>11357.378628399672</v>
      </c>
      <c r="G261" s="272">
        <f t="shared" si="91"/>
        <v>14333.483050823288</v>
      </c>
      <c r="H261" s="272">
        <f t="shared" si="91"/>
        <v>17437.58416864523</v>
      </c>
      <c r="I261" s="272">
        <f t="shared" si="91"/>
        <v>20369.723444142437</v>
      </c>
      <c r="J261" s="272">
        <f t="shared" si="91"/>
        <v>23630.447727043422</v>
      </c>
      <c r="K261" s="272">
        <f t="shared" si="91"/>
        <v>26927.376815827422</v>
      </c>
      <c r="L261" s="272">
        <f t="shared" si="91"/>
        <v>30214.763505620464</v>
      </c>
      <c r="M261" s="272">
        <f t="shared" si="91"/>
        <v>33420.107028940838</v>
      </c>
      <c r="N261" s="272">
        <f t="shared" si="91"/>
        <v>36533.591231342143</v>
      </c>
      <c r="O261" s="272">
        <f t="shared" si="91"/>
        <v>39517.603064764109</v>
      </c>
      <c r="P261" s="272">
        <f t="shared" si="91"/>
        <v>42377.799318965175</v>
      </c>
      <c r="Q261" s="272">
        <f t="shared" si="91"/>
        <v>45060.418351756845</v>
      </c>
      <c r="R261" s="273">
        <f t="shared" si="91"/>
        <v>47577.600121265568</v>
      </c>
      <c r="S261" s="273">
        <f t="shared" si="91"/>
        <v>46305.039091644881</v>
      </c>
      <c r="T261" s="273">
        <f t="shared" si="91"/>
        <v>44678.742688024366</v>
      </c>
      <c r="U261" s="273">
        <f t="shared" si="91"/>
        <v>42814.689640968994</v>
      </c>
      <c r="V261" s="273">
        <f t="shared" si="91"/>
        <v>40760.908825494465</v>
      </c>
      <c r="W261" s="273">
        <f t="shared" si="91"/>
        <v>38496.907868010057</v>
      </c>
      <c r="X261" s="273">
        <f t="shared" si="91"/>
        <v>36133.581790113232</v>
      </c>
      <c r="Y261" s="273">
        <f t="shared" si="91"/>
        <v>33597.568992600143</v>
      </c>
      <c r="Z261" s="273">
        <f t="shared" si="91"/>
        <v>30983.597685042158</v>
      </c>
      <c r="AA261" s="273">
        <f t="shared" si="91"/>
        <v>28409.463686267598</v>
      </c>
      <c r="AB261" s="273">
        <f t="shared" si="91"/>
        <v>25891.046002052</v>
      </c>
    </row>
    <row r="262" spans="2:28" ht="15.75" thickBot="1"/>
    <row r="263" spans="2:28">
      <c r="C263" s="280" t="s">
        <v>157</v>
      </c>
      <c r="D263" s="280" t="s">
        <v>157</v>
      </c>
    </row>
    <row r="264" spans="2:28" ht="15.75" thickBot="1">
      <c r="C264" s="281" t="s">
        <v>92</v>
      </c>
      <c r="D264" s="281" t="s">
        <v>189</v>
      </c>
    </row>
    <row r="265" spans="2:28">
      <c r="B265" s="274" t="s">
        <v>48</v>
      </c>
      <c r="C265" s="279">
        <f>SUM(C258:R258)</f>
        <v>72638.993655834463</v>
      </c>
      <c r="D265" s="600">
        <f>C265/(130/1000000*160000)</f>
        <v>3492.2593103766576</v>
      </c>
    </row>
    <row r="266" spans="2:28">
      <c r="B266" s="275" t="s">
        <v>53</v>
      </c>
      <c r="C266" s="277">
        <f>SUM(C259:R259)</f>
        <v>230260.48093419621</v>
      </c>
      <c r="D266" s="279">
        <f t="shared" ref="D266:D268" si="92">C266/(130/1000000*160000)</f>
        <v>11070.215429528665</v>
      </c>
    </row>
    <row r="267" spans="2:28">
      <c r="B267" s="444" t="s">
        <v>160</v>
      </c>
      <c r="C267" s="277">
        <f>SUM(C260:R260)</f>
        <v>401488.98328621971</v>
      </c>
      <c r="D267" s="279">
        <f t="shared" si="92"/>
        <v>19302.354965683644</v>
      </c>
    </row>
    <row r="268" spans="2:28" ht="15.75" thickBot="1">
      <c r="B268" s="276" t="s">
        <v>54</v>
      </c>
      <c r="C268" s="278">
        <f>SUM(C261:R261)</f>
        <v>405310.72833216476</v>
      </c>
      <c r="D268" s="601">
        <f t="shared" si="92"/>
        <v>19486.092708277156</v>
      </c>
    </row>
  </sheetData>
  <mergeCells count="1">
    <mergeCell ref="B50:B55"/>
  </mergeCells>
  <hyperlinks>
    <hyperlink ref="L8" r:id="rId1" display="(AEA Technology, 2005)"/>
    <hyperlink ref="L12" r:id="rId2" display="(Rogozhin et al., 2010)"/>
  </hyperlinks>
  <pageMargins left="0.7" right="0.7" top="0.75" bottom="0.75" header="0.3" footer="0.3"/>
  <pageSetup orientation="portrait"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122"/>
  <sheetViews>
    <sheetView zoomScale="75" zoomScaleNormal="75" workbookViewId="0">
      <selection activeCell="C6" sqref="C6"/>
    </sheetView>
  </sheetViews>
  <sheetFormatPr defaultRowHeight="15"/>
  <cols>
    <col min="1" max="1" width="9.140625" style="92"/>
    <col min="2" max="2" width="29.5703125" style="92" customWidth="1"/>
    <col min="3" max="3" width="53.5703125" style="92" customWidth="1"/>
    <col min="4" max="4" width="14" style="92" customWidth="1"/>
    <col min="5" max="6" width="14.5703125" style="92" customWidth="1"/>
    <col min="7" max="7" width="15.140625" style="92" customWidth="1"/>
    <col min="8" max="8" width="11.5703125" style="92" bestFit="1" customWidth="1"/>
    <col min="9" max="9" width="16.42578125" style="92" customWidth="1"/>
    <col min="10" max="10" width="16.5703125" style="92" customWidth="1"/>
    <col min="11" max="11" width="14.7109375" style="92" customWidth="1"/>
    <col min="12" max="12" width="14.5703125" style="92" customWidth="1"/>
    <col min="13" max="13" width="15.28515625" style="92" customWidth="1"/>
    <col min="14" max="14" width="25" style="92" customWidth="1"/>
    <col min="15" max="15" width="16" style="92" customWidth="1"/>
    <col min="16" max="16" width="16.85546875" style="92" customWidth="1"/>
    <col min="17" max="17" width="16.7109375" style="92" customWidth="1"/>
    <col min="18" max="18" width="13.140625" style="92" customWidth="1"/>
    <col min="19" max="19" width="14" style="92" customWidth="1"/>
    <col min="20" max="20" width="11.28515625" style="92" customWidth="1"/>
    <col min="21" max="21" width="9.140625" style="92"/>
    <col min="22" max="22" width="16" style="92" customWidth="1"/>
    <col min="23" max="16384" width="9.140625" style="92"/>
  </cols>
  <sheetData>
    <row r="1" spans="2:19" ht="15.75" thickBot="1"/>
    <row r="2" spans="2:19">
      <c r="B2" s="213"/>
      <c r="C2" s="197"/>
      <c r="D2" s="197"/>
      <c r="E2" s="197"/>
      <c r="F2" s="197"/>
      <c r="G2" s="197"/>
      <c r="H2" s="197"/>
      <c r="I2" s="197"/>
      <c r="J2" s="197"/>
      <c r="K2" s="197"/>
      <c r="L2" s="197"/>
      <c r="M2" s="197"/>
      <c r="N2" s="197"/>
      <c r="O2" s="197"/>
      <c r="P2" s="197"/>
      <c r="Q2" s="197"/>
      <c r="R2" s="197"/>
      <c r="S2" s="198"/>
    </row>
    <row r="3" spans="2:19" ht="23.25">
      <c r="B3" s="363" t="s">
        <v>124</v>
      </c>
      <c r="C3" s="200"/>
      <c r="D3" s="200"/>
      <c r="E3" s="200"/>
      <c r="F3" s="200"/>
      <c r="G3" s="200"/>
      <c r="H3" s="200"/>
      <c r="I3" s="200"/>
      <c r="J3" s="200"/>
      <c r="K3" s="200"/>
      <c r="L3" s="200"/>
      <c r="M3" s="200"/>
      <c r="N3" s="200"/>
      <c r="O3" s="200"/>
      <c r="P3" s="200"/>
      <c r="Q3" s="200"/>
      <c r="R3" s="200"/>
      <c r="S3" s="201"/>
    </row>
    <row r="4" spans="2:19">
      <c r="B4" s="199"/>
      <c r="C4" s="200"/>
      <c r="D4" s="200"/>
      <c r="E4" s="200"/>
      <c r="F4" s="200"/>
      <c r="G4" s="200"/>
      <c r="H4" s="200"/>
      <c r="I4" s="200"/>
      <c r="J4" s="200"/>
      <c r="K4" s="200"/>
      <c r="L4" s="200"/>
      <c r="M4" s="200"/>
      <c r="N4" s="200"/>
      <c r="O4" s="200"/>
      <c r="P4" s="200"/>
      <c r="Q4" s="200"/>
      <c r="R4" s="200"/>
      <c r="S4" s="201"/>
    </row>
    <row r="5" spans="2:19" ht="15.75">
      <c r="B5" s="202" t="s">
        <v>126</v>
      </c>
      <c r="C5" s="200"/>
      <c r="D5" s="200"/>
      <c r="E5" s="200"/>
      <c r="F5" s="200"/>
      <c r="G5" s="200"/>
      <c r="H5" s="200"/>
      <c r="I5" s="200"/>
      <c r="J5" s="200"/>
      <c r="K5" s="200"/>
      <c r="L5" s="200"/>
      <c r="M5" s="200"/>
      <c r="N5" s="200"/>
      <c r="O5" s="200"/>
      <c r="P5" s="200"/>
      <c r="Q5" s="200"/>
      <c r="R5" s="200"/>
      <c r="S5" s="201"/>
    </row>
    <row r="6" spans="2:19">
      <c r="B6" s="199" t="s">
        <v>127</v>
      </c>
      <c r="C6" s="200"/>
      <c r="D6" s="200"/>
      <c r="E6" s="200"/>
      <c r="F6" s="200"/>
      <c r="G6" s="200"/>
      <c r="H6" s="200"/>
      <c r="I6" s="200"/>
      <c r="J6" s="200"/>
      <c r="K6" s="200"/>
      <c r="L6" s="200"/>
      <c r="M6" s="200"/>
      <c r="N6" s="200"/>
      <c r="O6" s="200"/>
      <c r="P6" s="200"/>
      <c r="Q6" s="200"/>
      <c r="R6" s="200"/>
      <c r="S6" s="201"/>
    </row>
    <row r="7" spans="2:19">
      <c r="B7" s="199" t="s">
        <v>128</v>
      </c>
      <c r="C7" s="200"/>
      <c r="D7" s="200"/>
      <c r="E7" s="200"/>
      <c r="F7" s="200"/>
      <c r="G7" s="200"/>
      <c r="H7" s="200"/>
      <c r="I7" s="200"/>
      <c r="J7" s="200"/>
      <c r="K7" s="200"/>
      <c r="L7" s="200"/>
      <c r="M7" s="200"/>
      <c r="N7" s="200"/>
      <c r="O7" s="200"/>
      <c r="P7" s="200"/>
      <c r="Q7" s="200"/>
      <c r="R7" s="200"/>
      <c r="S7" s="201"/>
    </row>
    <row r="8" spans="2:19">
      <c r="B8" s="199" t="s">
        <v>129</v>
      </c>
      <c r="C8" s="200"/>
      <c r="D8" s="200"/>
      <c r="E8" s="200"/>
      <c r="F8" s="200"/>
      <c r="G8" s="200"/>
      <c r="H8" s="200"/>
      <c r="I8" s="200"/>
      <c r="J8" s="200"/>
      <c r="K8" s="200"/>
      <c r="L8" s="200"/>
      <c r="M8" s="200"/>
      <c r="N8" s="200"/>
      <c r="O8" s="200"/>
      <c r="P8" s="200"/>
      <c r="Q8" s="200"/>
      <c r="R8" s="200"/>
      <c r="S8" s="201"/>
    </row>
    <row r="9" spans="2:19">
      <c r="B9" s="199" t="s">
        <v>130</v>
      </c>
      <c r="C9" s="200"/>
      <c r="D9" s="200"/>
      <c r="E9" s="200"/>
      <c r="F9" s="200"/>
      <c r="G9" s="200"/>
      <c r="H9" s="200"/>
      <c r="I9" s="200"/>
      <c r="J9" s="206" t="s">
        <v>99</v>
      </c>
      <c r="K9" s="200"/>
      <c r="L9" s="200"/>
      <c r="M9" s="200"/>
      <c r="N9" s="200"/>
      <c r="O9" s="200"/>
      <c r="P9" s="200"/>
      <c r="Q9" s="200"/>
      <c r="R9" s="200"/>
      <c r="S9" s="201"/>
    </row>
    <row r="10" spans="2:19">
      <c r="B10" s="199"/>
      <c r="C10" s="200"/>
      <c r="D10" s="200"/>
      <c r="E10" s="200"/>
      <c r="F10" s="200"/>
      <c r="G10" s="200"/>
      <c r="H10" s="200"/>
      <c r="I10" s="200"/>
      <c r="J10" s="200"/>
      <c r="K10" s="200"/>
      <c r="L10" s="200"/>
      <c r="M10" s="200"/>
      <c r="N10" s="200"/>
      <c r="O10" s="200"/>
      <c r="P10" s="200"/>
      <c r="Q10" s="200"/>
      <c r="R10" s="200"/>
      <c r="S10" s="201"/>
    </row>
    <row r="11" spans="2:19" ht="18.75">
      <c r="B11" s="209" t="s">
        <v>103</v>
      </c>
      <c r="C11" s="200"/>
      <c r="D11" s="200"/>
      <c r="E11" s="200"/>
      <c r="F11" s="200"/>
      <c r="G11" s="200"/>
      <c r="H11" s="200"/>
      <c r="I11" s="200"/>
      <c r="J11" s="200"/>
      <c r="K11" s="200"/>
      <c r="L11" s="200"/>
      <c r="M11" s="200"/>
      <c r="N11" s="200"/>
      <c r="O11" s="200"/>
      <c r="P11" s="200"/>
      <c r="Q11" s="200"/>
      <c r="R11" s="200"/>
      <c r="S11" s="201"/>
    </row>
    <row r="12" spans="2:19">
      <c r="B12" s="199" t="s">
        <v>106</v>
      </c>
      <c r="C12" s="200"/>
      <c r="D12" s="200"/>
      <c r="E12" s="200"/>
      <c r="F12" s="200"/>
      <c r="G12" s="200"/>
      <c r="H12" s="200"/>
      <c r="I12" s="200"/>
      <c r="J12" s="200"/>
      <c r="K12" s="200"/>
      <c r="L12" s="200"/>
      <c r="M12" s="200"/>
      <c r="N12" s="200"/>
      <c r="O12" s="200"/>
      <c r="P12" s="200"/>
      <c r="Q12" s="200"/>
      <c r="R12" s="200"/>
      <c r="S12" s="201"/>
    </row>
    <row r="13" spans="2:19">
      <c r="B13" s="199" t="s">
        <v>104</v>
      </c>
      <c r="C13" s="200"/>
      <c r="D13" s="200"/>
      <c r="E13" s="200"/>
      <c r="F13" s="200"/>
      <c r="G13" s="200"/>
      <c r="H13" s="200"/>
      <c r="I13" s="200"/>
      <c r="J13" s="200"/>
      <c r="K13" s="200"/>
      <c r="L13" s="200"/>
      <c r="M13" s="200"/>
      <c r="N13" s="200"/>
      <c r="O13" s="200"/>
      <c r="P13" s="200"/>
      <c r="Q13" s="200"/>
      <c r="R13" s="200"/>
      <c r="S13" s="201"/>
    </row>
    <row r="14" spans="2:19">
      <c r="B14" s="199" t="s">
        <v>275</v>
      </c>
      <c r="C14" s="200"/>
      <c r="D14" s="200"/>
      <c r="E14" s="200"/>
      <c r="F14" s="200"/>
      <c r="G14" s="200"/>
      <c r="H14" s="200"/>
      <c r="I14" s="200"/>
      <c r="J14" s="200"/>
      <c r="K14" s="200"/>
      <c r="L14" s="200"/>
      <c r="M14" s="200"/>
      <c r="N14" s="200"/>
      <c r="O14" s="200"/>
      <c r="P14" s="200"/>
      <c r="Q14" s="200"/>
      <c r="R14" s="200"/>
      <c r="S14" s="201"/>
    </row>
    <row r="15" spans="2:19">
      <c r="B15" s="199" t="s">
        <v>105</v>
      </c>
      <c r="C15" s="200"/>
      <c r="D15" s="200"/>
      <c r="E15" s="200"/>
      <c r="F15" s="200"/>
      <c r="G15" s="200"/>
      <c r="H15" s="200"/>
      <c r="I15" s="200"/>
      <c r="J15" s="200"/>
      <c r="K15" s="200"/>
      <c r="L15" s="200"/>
      <c r="M15" s="200"/>
      <c r="N15" s="200"/>
      <c r="O15" s="200"/>
      <c r="P15" s="200"/>
      <c r="Q15" s="200"/>
      <c r="R15" s="200"/>
      <c r="S15" s="201"/>
    </row>
    <row r="16" spans="2:19">
      <c r="B16" s="199"/>
      <c r="C16" s="200"/>
      <c r="D16" s="200"/>
      <c r="E16" s="200"/>
      <c r="F16" s="200"/>
      <c r="G16" s="200"/>
      <c r="H16" s="200"/>
      <c r="I16" s="200"/>
      <c r="J16" s="200"/>
      <c r="K16" s="200"/>
      <c r="L16" s="200"/>
      <c r="M16" s="200"/>
      <c r="N16" s="200"/>
      <c r="O16" s="200"/>
      <c r="P16" s="200"/>
      <c r="Q16" s="200"/>
      <c r="R16" s="200"/>
      <c r="S16" s="201"/>
    </row>
    <row r="17" spans="2:19">
      <c r="B17" s="199" t="s">
        <v>131</v>
      </c>
      <c r="C17" s="200"/>
      <c r="D17" s="200"/>
      <c r="E17" s="200"/>
      <c r="F17" s="200"/>
      <c r="G17" s="200"/>
      <c r="H17" s="200"/>
      <c r="I17" s="200"/>
      <c r="J17" s="200"/>
      <c r="K17" s="200"/>
      <c r="L17" s="200"/>
      <c r="M17" s="200"/>
      <c r="N17" s="200"/>
      <c r="O17" s="200"/>
      <c r="P17" s="200"/>
      <c r="Q17" s="200"/>
      <c r="R17" s="200"/>
      <c r="S17" s="201"/>
    </row>
    <row r="18" spans="2:19">
      <c r="B18" s="199"/>
      <c r="C18" s="200"/>
      <c r="D18" s="200"/>
      <c r="E18" s="200"/>
      <c r="F18" s="200"/>
      <c r="G18" s="200"/>
      <c r="H18" s="200"/>
      <c r="I18" s="200"/>
      <c r="J18" s="200"/>
      <c r="K18" s="200"/>
      <c r="L18" s="200"/>
      <c r="M18" s="200"/>
      <c r="N18" s="200"/>
      <c r="O18" s="200"/>
      <c r="P18" s="200"/>
      <c r="Q18" s="200"/>
      <c r="R18" s="200"/>
      <c r="S18" s="201"/>
    </row>
    <row r="19" spans="2:19">
      <c r="B19" s="233" t="s">
        <v>132</v>
      </c>
      <c r="C19" s="200"/>
      <c r="D19" s="200"/>
      <c r="E19" s="200"/>
      <c r="F19" s="200"/>
      <c r="G19" s="200"/>
      <c r="H19" s="200"/>
      <c r="I19" s="200"/>
      <c r="J19" s="200"/>
      <c r="K19" s="200"/>
      <c r="L19" s="200"/>
      <c r="M19" s="200"/>
      <c r="N19" s="200"/>
      <c r="O19" s="200"/>
      <c r="P19" s="200"/>
      <c r="Q19" s="200"/>
      <c r="R19" s="200"/>
      <c r="S19" s="201"/>
    </row>
    <row r="20" spans="2:19">
      <c r="B20" s="199" t="s">
        <v>133</v>
      </c>
      <c r="C20" s="200"/>
      <c r="D20" s="200"/>
      <c r="E20" s="200"/>
      <c r="F20" s="200"/>
      <c r="G20" s="200"/>
      <c r="H20" s="200"/>
      <c r="I20" s="200"/>
      <c r="J20" s="200"/>
      <c r="K20" s="200"/>
      <c r="L20" s="200"/>
      <c r="M20" s="200"/>
      <c r="N20" s="200"/>
      <c r="O20" s="200"/>
      <c r="P20" s="200"/>
      <c r="Q20" s="200"/>
      <c r="R20" s="200"/>
      <c r="S20" s="201"/>
    </row>
    <row r="21" spans="2:19">
      <c r="B21" s="199"/>
      <c r="C21" s="200"/>
      <c r="D21" s="200"/>
      <c r="E21" s="200"/>
      <c r="F21" s="200"/>
      <c r="G21" s="200"/>
      <c r="H21" s="200"/>
      <c r="I21" s="200"/>
      <c r="J21" s="200"/>
      <c r="K21" s="200"/>
      <c r="L21" s="200"/>
      <c r="M21" s="200"/>
      <c r="N21" s="200"/>
      <c r="O21" s="200"/>
      <c r="P21" s="200"/>
      <c r="Q21" s="200"/>
      <c r="R21" s="200"/>
      <c r="S21" s="201"/>
    </row>
    <row r="22" spans="2:19">
      <c r="B22" s="199"/>
      <c r="C22" s="200"/>
      <c r="D22" s="200"/>
      <c r="E22" s="200"/>
      <c r="F22" s="200"/>
      <c r="G22" s="200"/>
      <c r="H22" s="200"/>
      <c r="I22" s="200"/>
      <c r="J22" s="200"/>
      <c r="K22" s="200"/>
      <c r="L22" s="200"/>
      <c r="M22" s="200"/>
      <c r="N22" s="200"/>
      <c r="O22" s="200"/>
      <c r="P22" s="200"/>
      <c r="Q22" s="200"/>
      <c r="R22" s="200"/>
      <c r="S22" s="201"/>
    </row>
    <row r="23" spans="2:19">
      <c r="B23" s="199"/>
      <c r="C23" s="200"/>
      <c r="D23" s="200"/>
      <c r="E23" s="200"/>
      <c r="F23" s="200"/>
      <c r="G23" s="200"/>
      <c r="H23" s="200"/>
      <c r="I23" s="200"/>
      <c r="J23" s="200"/>
      <c r="K23" s="200"/>
      <c r="L23" s="200"/>
      <c r="M23" s="200"/>
      <c r="N23" s="200"/>
      <c r="O23" s="200"/>
      <c r="P23" s="200"/>
      <c r="Q23" s="200"/>
      <c r="R23" s="200"/>
      <c r="S23" s="201"/>
    </row>
    <row r="24" spans="2:19">
      <c r="B24" s="199"/>
      <c r="C24" s="200"/>
      <c r="D24" s="200"/>
      <c r="E24" s="200"/>
      <c r="F24" s="200"/>
      <c r="G24" s="200"/>
      <c r="H24" s="200"/>
      <c r="I24" s="200"/>
      <c r="J24" s="200"/>
      <c r="K24" s="200"/>
      <c r="L24" s="200"/>
      <c r="M24" s="200"/>
      <c r="N24" s="200"/>
      <c r="O24" s="200"/>
      <c r="P24" s="200"/>
      <c r="Q24" s="200"/>
      <c r="R24" s="200"/>
      <c r="S24" s="201"/>
    </row>
    <row r="25" spans="2:19" ht="15.75" thickBot="1">
      <c r="B25" s="203"/>
      <c r="C25" s="204"/>
      <c r="D25" s="204"/>
      <c r="E25" s="204"/>
      <c r="F25" s="204"/>
      <c r="G25" s="204"/>
      <c r="H25" s="204"/>
      <c r="I25" s="204"/>
      <c r="J25" s="204"/>
      <c r="K25" s="204"/>
      <c r="L25" s="204"/>
      <c r="M25" s="204"/>
      <c r="N25" s="204"/>
      <c r="O25" s="204"/>
      <c r="P25" s="204"/>
      <c r="Q25" s="204"/>
      <c r="R25" s="204"/>
      <c r="S25" s="205"/>
    </row>
    <row r="26" spans="2:19" ht="15.75" thickBot="1"/>
    <row r="27" spans="2:19" ht="19.5" thickBot="1">
      <c r="B27" s="654" t="s">
        <v>257</v>
      </c>
      <c r="C27" s="655"/>
      <c r="D27" s="656"/>
    </row>
    <row r="28" spans="2:19" ht="16.5" thickBot="1">
      <c r="B28" s="628" t="s">
        <v>258</v>
      </c>
      <c r="C28" s="637" t="s">
        <v>259</v>
      </c>
      <c r="D28" s="631"/>
    </row>
    <row r="29" spans="2:19" ht="18.75">
      <c r="B29" s="638">
        <v>1.5</v>
      </c>
      <c r="C29" s="632" t="s">
        <v>75</v>
      </c>
      <c r="D29" s="632" t="s">
        <v>70</v>
      </c>
      <c r="K29" s="98"/>
    </row>
    <row r="30" spans="2:19" ht="16.5" thickBot="1">
      <c r="B30" s="629"/>
      <c r="C30" s="633">
        <f>'REF_VOC Costs'!AF47</f>
        <v>1098.0726377430501</v>
      </c>
      <c r="D30" s="633">
        <f>'REF_VOC Costs'!AG47</f>
        <v>3303.3665700764986</v>
      </c>
      <c r="K30" s="119"/>
    </row>
    <row r="31" spans="2:19" ht="19.5" thickBot="1">
      <c r="I31" s="111"/>
      <c r="J31" s="111"/>
      <c r="K31" s="119"/>
    </row>
    <row r="32" spans="2:19" ht="19.5" thickBot="1">
      <c r="B32" s="387" t="s">
        <v>264</v>
      </c>
      <c r="C32" s="282"/>
      <c r="D32" s="282"/>
      <c r="E32" s="282"/>
      <c r="F32" s="282"/>
      <c r="G32" s="282"/>
      <c r="H32" s="282"/>
      <c r="I32" s="388"/>
      <c r="J32" s="388"/>
      <c r="K32" s="389"/>
      <c r="L32" s="282"/>
      <c r="M32" s="282"/>
      <c r="N32" s="282"/>
      <c r="O32" s="282"/>
      <c r="P32" s="282"/>
      <c r="Q32" s="282"/>
      <c r="R32" s="282"/>
      <c r="S32" s="283"/>
    </row>
    <row r="34" spans="2:29" ht="15.75" thickBot="1">
      <c r="D34" s="409">
        <v>2015</v>
      </c>
      <c r="E34" s="409">
        <v>2016</v>
      </c>
      <c r="F34" s="409">
        <v>2017</v>
      </c>
      <c r="G34" s="409">
        <v>2018</v>
      </c>
      <c r="H34" s="409">
        <v>2019</v>
      </c>
      <c r="I34" s="409">
        <v>2020</v>
      </c>
      <c r="J34" s="409">
        <v>2021</v>
      </c>
      <c r="K34" s="409">
        <v>2022</v>
      </c>
      <c r="L34" s="409">
        <v>2023</v>
      </c>
      <c r="M34" s="409">
        <v>2024</v>
      </c>
      <c r="N34" s="409">
        <v>2025</v>
      </c>
      <c r="O34" s="409">
        <v>2026</v>
      </c>
      <c r="P34" s="409">
        <v>2027</v>
      </c>
      <c r="Q34" s="409">
        <v>2028</v>
      </c>
      <c r="R34" s="409">
        <v>2029</v>
      </c>
      <c r="S34" s="409">
        <v>2030</v>
      </c>
      <c r="T34" s="409">
        <v>2031</v>
      </c>
      <c r="U34" s="409">
        <v>2032</v>
      </c>
      <c r="V34" s="409">
        <v>2033</v>
      </c>
      <c r="W34" s="409">
        <v>2034</v>
      </c>
      <c r="X34" s="409">
        <v>2035</v>
      </c>
      <c r="Y34" s="409">
        <v>2036</v>
      </c>
      <c r="Z34" s="409">
        <v>2037</v>
      </c>
      <c r="AA34" s="409">
        <v>2038</v>
      </c>
      <c r="AB34" s="409">
        <v>2039</v>
      </c>
      <c r="AC34" s="409">
        <v>2040</v>
      </c>
    </row>
    <row r="35" spans="2:29">
      <c r="B35" s="737" t="s">
        <v>77</v>
      </c>
      <c r="C35" s="406" t="s">
        <v>51</v>
      </c>
      <c r="D35" s="123">
        <v>12461795.397800472</v>
      </c>
      <c r="E35" s="123">
        <v>12061574.549201667</v>
      </c>
      <c r="F35" s="123">
        <v>12004607.340855427</v>
      </c>
      <c r="G35" s="123">
        <v>11981608.826101728</v>
      </c>
      <c r="H35" s="123">
        <v>12077905.324261546</v>
      </c>
      <c r="I35" s="123">
        <v>12637067.217560742</v>
      </c>
      <c r="J35" s="123">
        <v>9547182.1399962232</v>
      </c>
      <c r="K35" s="123">
        <v>9606405.7960448749</v>
      </c>
      <c r="L35" s="123">
        <v>9680927.4677071217</v>
      </c>
      <c r="M35" s="123">
        <v>10046360.318599418</v>
      </c>
      <c r="N35" s="123">
        <v>9799053.8831536509</v>
      </c>
      <c r="O35" s="123">
        <v>8716013.2032037638</v>
      </c>
      <c r="P35" s="123">
        <v>8672945.3040618431</v>
      </c>
      <c r="Q35" s="123">
        <v>8654512.8617583215</v>
      </c>
      <c r="R35" s="123">
        <v>8625762.5219088253</v>
      </c>
      <c r="S35" s="123">
        <v>8488372.9227999486</v>
      </c>
      <c r="T35" s="123">
        <v>0</v>
      </c>
      <c r="U35" s="123">
        <v>0</v>
      </c>
      <c r="V35" s="123">
        <v>0</v>
      </c>
      <c r="W35" s="123">
        <v>0</v>
      </c>
      <c r="X35" s="123">
        <v>0</v>
      </c>
      <c r="Y35" s="123">
        <v>0</v>
      </c>
      <c r="Z35" s="123">
        <v>0</v>
      </c>
      <c r="AA35" s="123">
        <v>0</v>
      </c>
      <c r="AB35" s="123">
        <v>0</v>
      </c>
      <c r="AC35" s="410">
        <v>0</v>
      </c>
    </row>
    <row r="36" spans="2:29">
      <c r="B36" s="738"/>
      <c r="C36" s="407" t="s">
        <v>52</v>
      </c>
      <c r="D36" s="183">
        <v>1.687605486491123</v>
      </c>
      <c r="E36" s="183">
        <v>1.7646197910099259</v>
      </c>
      <c r="F36" s="183">
        <v>1.8361623916488605</v>
      </c>
      <c r="G36" s="183">
        <v>1.8976804031248355</v>
      </c>
      <c r="H36" s="183">
        <v>1.9530299375617348</v>
      </c>
      <c r="I36" s="183">
        <v>2.0033809470728206</v>
      </c>
      <c r="J36" s="183">
        <v>2.0950522246752632</v>
      </c>
      <c r="K36" s="183">
        <v>2.1953508651291145</v>
      </c>
      <c r="L36" s="183">
        <v>2.2905970029402312</v>
      </c>
      <c r="M36" s="183">
        <v>2.3757749434218947</v>
      </c>
      <c r="N36" s="183">
        <v>2.46092340020388</v>
      </c>
      <c r="O36" s="183">
        <v>2.5642662747751954</v>
      </c>
      <c r="P36" s="183">
        <v>2.6652279720227621</v>
      </c>
      <c r="Q36" s="183">
        <v>2.764562846013813</v>
      </c>
      <c r="R36" s="183">
        <v>2.8608574363886961</v>
      </c>
      <c r="S36" s="183">
        <v>2.9561413909500929</v>
      </c>
      <c r="T36" s="183">
        <v>3.0429978701871887</v>
      </c>
      <c r="U36" s="183">
        <v>3.1257949231309334</v>
      </c>
      <c r="V36" s="183">
        <v>3.2054640946676018</v>
      </c>
      <c r="W36" s="183">
        <v>3.2853910666190966</v>
      </c>
      <c r="X36" s="183">
        <v>3.3641174602297164</v>
      </c>
      <c r="Y36" s="183">
        <v>3.4465240619426853</v>
      </c>
      <c r="Z36" s="183">
        <v>3.5257736870109642</v>
      </c>
      <c r="AA36" s="183">
        <v>3.6017613379380879</v>
      </c>
      <c r="AB36" s="183">
        <v>3.6828008528383229</v>
      </c>
      <c r="AC36" s="410">
        <v>3.7658715301680687</v>
      </c>
    </row>
    <row r="37" spans="2:29">
      <c r="B37" s="738"/>
      <c r="C37" s="407" t="s">
        <v>48</v>
      </c>
      <c r="D37" s="183">
        <v>1.5081052587022803</v>
      </c>
      <c r="E37" s="183">
        <v>1.5816970550251981</v>
      </c>
      <c r="F37" s="183">
        <v>1.6490519307874139</v>
      </c>
      <c r="G37" s="183">
        <v>1.7061807419108777</v>
      </c>
      <c r="H37" s="183">
        <v>1.7576167743053503</v>
      </c>
      <c r="I37" s="183">
        <v>1.803639479375033</v>
      </c>
      <c r="J37" s="183">
        <v>1.8903122996723334</v>
      </c>
      <c r="K37" s="183">
        <v>1.9848480236959642</v>
      </c>
      <c r="L37" s="183">
        <v>2.0743687076107533</v>
      </c>
      <c r="M37" s="183">
        <v>2.1545415390428473</v>
      </c>
      <c r="N37" s="183">
        <v>2.2330418612187102</v>
      </c>
      <c r="O37" s="183">
        <v>2.3292468873217045</v>
      </c>
      <c r="P37" s="183">
        <v>2.4230427469855513</v>
      </c>
      <c r="Q37" s="183">
        <v>2.513548653259313</v>
      </c>
      <c r="R37" s="183">
        <v>2.6020793040211139</v>
      </c>
      <c r="S37" s="183">
        <v>2.6887215357677703</v>
      </c>
      <c r="T37" s="183">
        <v>2.7693139309176535</v>
      </c>
      <c r="U37" s="183">
        <v>2.8447624467854933</v>
      </c>
      <c r="V37" s="183">
        <v>2.9169290431996453</v>
      </c>
      <c r="W37" s="183">
        <v>2.989624761366489</v>
      </c>
      <c r="X37" s="183">
        <v>3.0608262418784968</v>
      </c>
      <c r="Y37" s="183">
        <v>3.1355378726120953</v>
      </c>
      <c r="Z37" s="183">
        <v>3.2076916631872274</v>
      </c>
      <c r="AA37" s="183">
        <v>3.2761123674623023</v>
      </c>
      <c r="AB37" s="183">
        <v>3.3496046210748736</v>
      </c>
      <c r="AC37" s="410">
        <v>3.424142471860312</v>
      </c>
    </row>
    <row r="38" spans="2:29">
      <c r="B38" s="738"/>
      <c r="C38" s="407" t="s">
        <v>53</v>
      </c>
      <c r="D38" s="183">
        <v>1.0900007666187224</v>
      </c>
      <c r="E38" s="183">
        <v>1.1567881193643998</v>
      </c>
      <c r="F38" s="183">
        <v>1.2179487207539725</v>
      </c>
      <c r="G38" s="183">
        <v>1.2684003319172052</v>
      </c>
      <c r="H38" s="183">
        <v>1.3128989125835515</v>
      </c>
      <c r="I38" s="183">
        <v>1.3540660599083452</v>
      </c>
      <c r="J38" s="183">
        <v>1.4303320840777674</v>
      </c>
      <c r="K38" s="183">
        <v>1.5156216149323289</v>
      </c>
      <c r="L38" s="183">
        <v>1.5959302172579257</v>
      </c>
      <c r="M38" s="183">
        <v>1.6678024538365146</v>
      </c>
      <c r="N38" s="183">
        <v>1.7378218521191759</v>
      </c>
      <c r="O38" s="183">
        <v>1.8237732220776193</v>
      </c>
      <c r="P38" s="183">
        <v>1.9063756379721566</v>
      </c>
      <c r="Q38" s="183">
        <v>1.9858231697873669</v>
      </c>
      <c r="R38" s="183">
        <v>2.0622938337172836</v>
      </c>
      <c r="S38" s="183">
        <v>2.1372175661214117</v>
      </c>
      <c r="T38" s="183">
        <v>2.2064516101409688</v>
      </c>
      <c r="U38" s="183">
        <v>2.2713119325435538</v>
      </c>
      <c r="V38" s="183">
        <v>2.3328741060349603</v>
      </c>
      <c r="W38" s="183">
        <v>2.3938986700454543</v>
      </c>
      <c r="X38" s="183">
        <v>2.4541767468790958</v>
      </c>
      <c r="Y38" s="183">
        <v>2.5167162763211954</v>
      </c>
      <c r="Z38" s="183">
        <v>2.576901979467181</v>
      </c>
      <c r="AA38" s="183">
        <v>2.6343079929139459</v>
      </c>
      <c r="AB38" s="183">
        <v>2.6952959160488636</v>
      </c>
      <c r="AC38" s="410">
        <v>2.7571756589577232</v>
      </c>
    </row>
    <row r="39" spans="2:29">
      <c r="B39" s="738"/>
      <c r="C39" s="275" t="s">
        <v>160</v>
      </c>
      <c r="D39" s="183">
        <v>0.99035123195450925</v>
      </c>
      <c r="E39" s="183">
        <v>1.0087628767589822</v>
      </c>
      <c r="F39" s="183">
        <v>1.0226333349887704</v>
      </c>
      <c r="G39" s="183">
        <v>1.0276811700153028</v>
      </c>
      <c r="H39" s="183">
        <v>1.0280879340145193</v>
      </c>
      <c r="I39" s="183">
        <v>1.0291739492306891</v>
      </c>
      <c r="J39" s="183">
        <v>1.0518056420099455</v>
      </c>
      <c r="K39" s="183">
        <v>1.0871756983597929</v>
      </c>
      <c r="L39" s="183">
        <v>1.120424641906457</v>
      </c>
      <c r="M39" s="183">
        <v>1.1499409803691922</v>
      </c>
      <c r="N39" s="183">
        <v>1.1788134131259635</v>
      </c>
      <c r="O39" s="183">
        <v>1.2134824407803333</v>
      </c>
      <c r="P39" s="183">
        <v>1.2463424963431073</v>
      </c>
      <c r="Q39" s="183">
        <v>1.2773519591409797</v>
      </c>
      <c r="R39" s="183">
        <v>1.3067649391441434</v>
      </c>
      <c r="S39" s="183">
        <v>1.3352442272479328</v>
      </c>
      <c r="T39" s="183">
        <v>1.3612196922589197</v>
      </c>
      <c r="U39" s="183">
        <v>1.3862201416969371</v>
      </c>
      <c r="V39" s="183">
        <v>1.4078837727565776</v>
      </c>
      <c r="W39" s="183">
        <v>1.4284102027612089</v>
      </c>
      <c r="X39" s="183">
        <v>1.4482867922528158</v>
      </c>
      <c r="Y39" s="183">
        <v>1.4682199256519506</v>
      </c>
      <c r="Z39" s="183">
        <v>1.4870883429044714</v>
      </c>
      <c r="AA39" s="183">
        <v>1.5024865625429189</v>
      </c>
      <c r="AB39" s="183">
        <v>1.5179156977801833</v>
      </c>
      <c r="AC39" s="410">
        <v>1.5320671920690723</v>
      </c>
    </row>
    <row r="40" spans="2:29" ht="15.75" thickBot="1">
      <c r="B40" s="739"/>
      <c r="C40" s="408" t="s">
        <v>54</v>
      </c>
      <c r="D40" s="183">
        <v>0.85789222300477175</v>
      </c>
      <c r="E40" s="183">
        <v>0.89145051357604888</v>
      </c>
      <c r="F40" s="183">
        <v>0.92423281945953895</v>
      </c>
      <c r="G40" s="183">
        <v>0.9557571716088421</v>
      </c>
      <c r="H40" s="183">
        <v>0.98643103354774331</v>
      </c>
      <c r="I40" s="183">
        <v>1.0140109961188271</v>
      </c>
      <c r="J40" s="183">
        <v>1.0518056420099455</v>
      </c>
      <c r="K40" s="183">
        <v>1.0871756983597929</v>
      </c>
      <c r="L40" s="183">
        <v>1.120424641906457</v>
      </c>
      <c r="M40" s="183">
        <v>1.1499409803691922</v>
      </c>
      <c r="N40" s="183">
        <v>1.1788134131259635</v>
      </c>
      <c r="O40" s="183">
        <v>1.2134824407803333</v>
      </c>
      <c r="P40" s="183">
        <v>1.2463424963431073</v>
      </c>
      <c r="Q40" s="183">
        <v>1.2773519591409797</v>
      </c>
      <c r="R40" s="183">
        <v>1.3067649391441434</v>
      </c>
      <c r="S40" s="183">
        <v>1.3352442272479328</v>
      </c>
      <c r="T40" s="183">
        <v>1.3612196922589197</v>
      </c>
      <c r="U40" s="183">
        <v>1.3862201416969371</v>
      </c>
      <c r="V40" s="183">
        <v>1.4078837727565776</v>
      </c>
      <c r="W40" s="183">
        <v>1.4284102027612089</v>
      </c>
      <c r="X40" s="183">
        <v>1.4482867922528158</v>
      </c>
      <c r="Y40" s="183">
        <v>1.4682199256519506</v>
      </c>
      <c r="Z40" s="183">
        <v>1.4870883429044714</v>
      </c>
      <c r="AA40" s="183">
        <v>1.5024865625429189</v>
      </c>
      <c r="AB40" s="183">
        <v>1.5179156977801833</v>
      </c>
      <c r="AC40" s="410">
        <v>1.5320671920690723</v>
      </c>
    </row>
    <row r="41" spans="2:29" ht="15.75" thickBot="1">
      <c r="D41" s="184"/>
      <c r="E41" s="184"/>
      <c r="F41" s="184"/>
      <c r="G41" s="184"/>
      <c r="H41" s="184"/>
      <c r="I41" s="184"/>
      <c r="J41" s="184"/>
      <c r="K41" s="184"/>
      <c r="L41" s="184"/>
      <c r="M41" s="184"/>
      <c r="N41" s="184"/>
      <c r="O41" s="184"/>
      <c r="P41" s="184"/>
      <c r="Q41" s="184"/>
      <c r="R41" s="184"/>
      <c r="S41" s="184"/>
      <c r="T41" s="184"/>
      <c r="U41" s="184"/>
      <c r="V41" s="184"/>
      <c r="W41" s="184"/>
      <c r="X41" s="184"/>
      <c r="Y41" s="184"/>
      <c r="Z41" s="184"/>
      <c r="AA41" s="184"/>
      <c r="AB41" s="184"/>
    </row>
    <row r="42" spans="2:29" ht="15.75" thickBot="1">
      <c r="C42" s="148" t="s">
        <v>78</v>
      </c>
      <c r="D42" s="184"/>
      <c r="E42" s="184"/>
      <c r="F42" s="184"/>
      <c r="G42" s="184"/>
      <c r="H42" s="184"/>
      <c r="I42" s="184"/>
      <c r="J42" s="184"/>
      <c r="K42" s="184"/>
      <c r="L42" s="184"/>
      <c r="M42" s="184"/>
      <c r="N42" s="184"/>
      <c r="O42" s="184"/>
      <c r="P42" s="184"/>
      <c r="Q42" s="184"/>
      <c r="R42" s="184"/>
      <c r="S42" s="184"/>
      <c r="T42" s="184"/>
      <c r="U42" s="184"/>
      <c r="V42" s="184"/>
      <c r="W42" s="184"/>
      <c r="X42" s="184"/>
      <c r="Y42" s="184"/>
      <c r="Z42" s="184"/>
      <c r="AA42" s="184"/>
      <c r="AB42" s="184"/>
    </row>
    <row r="43" spans="2:29">
      <c r="C43" s="341"/>
      <c r="D43" s="411">
        <v>2015</v>
      </c>
      <c r="E43" s="412">
        <v>2016</v>
      </c>
      <c r="F43" s="412">
        <v>2017</v>
      </c>
      <c r="G43" s="412">
        <v>2018</v>
      </c>
      <c r="H43" s="412">
        <v>2019</v>
      </c>
      <c r="I43" s="412">
        <v>2020</v>
      </c>
      <c r="J43" s="412">
        <v>2021</v>
      </c>
      <c r="K43" s="412">
        <v>2022</v>
      </c>
      <c r="L43" s="412">
        <v>2023</v>
      </c>
      <c r="M43" s="412">
        <v>2024</v>
      </c>
      <c r="N43" s="412">
        <v>2025</v>
      </c>
      <c r="O43" s="412">
        <v>2026</v>
      </c>
      <c r="P43" s="412">
        <v>2027</v>
      </c>
      <c r="Q43" s="412">
        <v>2028</v>
      </c>
      <c r="R43" s="412">
        <v>2029</v>
      </c>
      <c r="S43" s="412">
        <v>2030</v>
      </c>
      <c r="T43" s="412">
        <v>2031</v>
      </c>
      <c r="U43" s="412">
        <v>2032</v>
      </c>
      <c r="V43" s="412">
        <v>2033</v>
      </c>
      <c r="W43" s="412">
        <v>2034</v>
      </c>
      <c r="X43" s="412">
        <v>2035</v>
      </c>
      <c r="Y43" s="412">
        <v>2036</v>
      </c>
      <c r="Z43" s="412">
        <v>2037</v>
      </c>
      <c r="AA43" s="412">
        <v>2038</v>
      </c>
      <c r="AB43" s="412">
        <v>2039</v>
      </c>
      <c r="AC43" s="413">
        <v>2040</v>
      </c>
    </row>
    <row r="44" spans="2:29">
      <c r="C44" s="149" t="s">
        <v>48</v>
      </c>
      <c r="D44" s="185">
        <f>D37-D36</f>
        <v>-0.17950022778884267</v>
      </c>
      <c r="E44" s="185">
        <f t="shared" ref="E44:AC44" si="0">E37-E36</f>
        <v>-0.18292273598472786</v>
      </c>
      <c r="F44" s="185">
        <f t="shared" si="0"/>
        <v>-0.18711046086144667</v>
      </c>
      <c r="G44" s="185">
        <f t="shared" si="0"/>
        <v>-0.19149966121395789</v>
      </c>
      <c r="H44" s="185">
        <f t="shared" si="0"/>
        <v>-0.19541316325638447</v>
      </c>
      <c r="I44" s="185">
        <f t="shared" si="0"/>
        <v>-0.19974146769778756</v>
      </c>
      <c r="J44" s="185">
        <f t="shared" si="0"/>
        <v>-0.20473992500292981</v>
      </c>
      <c r="K44" s="185">
        <f t="shared" si="0"/>
        <v>-0.21050284143315023</v>
      </c>
      <c r="L44" s="185">
        <f t="shared" si="0"/>
        <v>-0.21622829532947785</v>
      </c>
      <c r="M44" s="185">
        <f t="shared" si="0"/>
        <v>-0.22123340437904737</v>
      </c>
      <c r="N44" s="185">
        <f t="shared" si="0"/>
        <v>-0.22788153898516983</v>
      </c>
      <c r="O44" s="185">
        <f t="shared" si="0"/>
        <v>-0.23501938745349094</v>
      </c>
      <c r="P44" s="185">
        <f t="shared" si="0"/>
        <v>-0.24218522503721074</v>
      </c>
      <c r="Q44" s="185">
        <f t="shared" si="0"/>
        <v>-0.25101419275449999</v>
      </c>
      <c r="R44" s="185">
        <f t="shared" si="0"/>
        <v>-0.25877813236758218</v>
      </c>
      <c r="S44" s="186">
        <f t="shared" si="0"/>
        <v>-0.26741985518232259</v>
      </c>
      <c r="T44" s="186">
        <f t="shared" si="0"/>
        <v>-0.27368393926953516</v>
      </c>
      <c r="U44" s="186">
        <f t="shared" si="0"/>
        <v>-0.28103247634544015</v>
      </c>
      <c r="V44" s="186">
        <f t="shared" si="0"/>
        <v>-0.28853505146795655</v>
      </c>
      <c r="W44" s="186">
        <f t="shared" si="0"/>
        <v>-0.29576630525260761</v>
      </c>
      <c r="X44" s="186">
        <f t="shared" si="0"/>
        <v>-0.30329121835121953</v>
      </c>
      <c r="Y44" s="186">
        <f t="shared" si="0"/>
        <v>-0.31098618933059008</v>
      </c>
      <c r="Z44" s="186">
        <f t="shared" si="0"/>
        <v>-0.31808202382373674</v>
      </c>
      <c r="AA44" s="186">
        <f t="shared" si="0"/>
        <v>-0.32564897047578567</v>
      </c>
      <c r="AB44" s="186">
        <f t="shared" si="0"/>
        <v>-0.33319623176344937</v>
      </c>
      <c r="AC44" s="186">
        <f t="shared" si="0"/>
        <v>-0.34172905830775679</v>
      </c>
    </row>
    <row r="45" spans="2:29">
      <c r="C45" s="149" t="s">
        <v>53</v>
      </c>
      <c r="D45" s="185">
        <f>D38-D36</f>
        <v>-0.5976047198724006</v>
      </c>
      <c r="E45" s="185">
        <f t="shared" ref="E45:AC45" si="1">E38-E36</f>
        <v>-0.60783167164552609</v>
      </c>
      <c r="F45" s="185">
        <f t="shared" si="1"/>
        <v>-0.61821367089488799</v>
      </c>
      <c r="G45" s="185">
        <f t="shared" si="1"/>
        <v>-0.6292800712076303</v>
      </c>
      <c r="H45" s="185">
        <f t="shared" si="1"/>
        <v>-0.64013102497818331</v>
      </c>
      <c r="I45" s="185">
        <f t="shared" si="1"/>
        <v>-0.64931488716447539</v>
      </c>
      <c r="J45" s="185">
        <f t="shared" si="1"/>
        <v>-0.66472014059749585</v>
      </c>
      <c r="K45" s="185">
        <f t="shared" si="1"/>
        <v>-0.67972925019678554</v>
      </c>
      <c r="L45" s="185">
        <f t="shared" si="1"/>
        <v>-0.69466678568230544</v>
      </c>
      <c r="M45" s="185">
        <f t="shared" si="1"/>
        <v>-0.70797248958538006</v>
      </c>
      <c r="N45" s="185">
        <f t="shared" si="1"/>
        <v>-0.72310154808470406</v>
      </c>
      <c r="O45" s="185">
        <f t="shared" si="1"/>
        <v>-0.74049305269757615</v>
      </c>
      <c r="P45" s="185">
        <f t="shared" si="1"/>
        <v>-0.75885233405060548</v>
      </c>
      <c r="Q45" s="185">
        <f t="shared" si="1"/>
        <v>-0.77873967622644602</v>
      </c>
      <c r="R45" s="185">
        <f t="shared" si="1"/>
        <v>-0.79856360267141246</v>
      </c>
      <c r="S45" s="186">
        <f t="shared" si="1"/>
        <v>-0.8189238248286812</v>
      </c>
      <c r="T45" s="186">
        <f t="shared" si="1"/>
        <v>-0.8365462600462199</v>
      </c>
      <c r="U45" s="186">
        <f t="shared" si="1"/>
        <v>-0.85448299058737964</v>
      </c>
      <c r="V45" s="186">
        <f t="shared" si="1"/>
        <v>-0.87258998863264159</v>
      </c>
      <c r="W45" s="186">
        <f t="shared" si="1"/>
        <v>-0.89149239657364232</v>
      </c>
      <c r="X45" s="186">
        <f t="shared" si="1"/>
        <v>-0.90994071335062054</v>
      </c>
      <c r="Y45" s="186">
        <f t="shared" si="1"/>
        <v>-0.92980778562148991</v>
      </c>
      <c r="Z45" s="186">
        <f t="shared" si="1"/>
        <v>-0.94887170754378314</v>
      </c>
      <c r="AA45" s="186">
        <f t="shared" si="1"/>
        <v>-0.96745334502414204</v>
      </c>
      <c r="AB45" s="186">
        <f t="shared" si="1"/>
        <v>-0.98750493678945928</v>
      </c>
      <c r="AC45" s="186">
        <f t="shared" si="1"/>
        <v>-1.0086958712103455</v>
      </c>
    </row>
    <row r="46" spans="2:29">
      <c r="C46" s="441" t="s">
        <v>160</v>
      </c>
      <c r="D46" s="442">
        <f>D39-D36</f>
        <v>-0.69725425453661372</v>
      </c>
      <c r="E46" s="442">
        <f t="shared" ref="E46:AC46" si="2">E39-E36</f>
        <v>-0.7558569142509437</v>
      </c>
      <c r="F46" s="442">
        <f t="shared" si="2"/>
        <v>-0.81352905666009012</v>
      </c>
      <c r="G46" s="442">
        <f t="shared" si="2"/>
        <v>-0.86999923310953275</v>
      </c>
      <c r="H46" s="442">
        <f t="shared" si="2"/>
        <v>-0.92494200354721556</v>
      </c>
      <c r="I46" s="442">
        <f t="shared" si="2"/>
        <v>-0.97420699784213149</v>
      </c>
      <c r="J46" s="442">
        <f t="shared" si="2"/>
        <v>-1.0432465826653177</v>
      </c>
      <c r="K46" s="442">
        <f t="shared" si="2"/>
        <v>-1.1081751667693216</v>
      </c>
      <c r="L46" s="442">
        <f t="shared" si="2"/>
        <v>-1.1701723610337742</v>
      </c>
      <c r="M46" s="442">
        <f t="shared" si="2"/>
        <v>-1.2258339630527024</v>
      </c>
      <c r="N46" s="442">
        <f t="shared" si="2"/>
        <v>-1.2821099870779165</v>
      </c>
      <c r="O46" s="442">
        <f t="shared" si="2"/>
        <v>-1.3507838339948621</v>
      </c>
      <c r="P46" s="442">
        <f t="shared" si="2"/>
        <v>-1.4188854756796547</v>
      </c>
      <c r="Q46" s="442">
        <f t="shared" si="2"/>
        <v>-1.4872108868728333</v>
      </c>
      <c r="R46" s="442">
        <f t="shared" si="2"/>
        <v>-1.5540924972445527</v>
      </c>
      <c r="S46" s="442">
        <f t="shared" si="2"/>
        <v>-1.6208971637021601</v>
      </c>
      <c r="T46" s="442">
        <f t="shared" si="2"/>
        <v>-1.681778177928269</v>
      </c>
      <c r="U46" s="442">
        <f t="shared" si="2"/>
        <v>-1.7395747814339964</v>
      </c>
      <c r="V46" s="442">
        <f t="shared" si="2"/>
        <v>-1.7975803219110242</v>
      </c>
      <c r="W46" s="442">
        <f t="shared" si="2"/>
        <v>-1.8569808638578877</v>
      </c>
      <c r="X46" s="442">
        <f t="shared" si="2"/>
        <v>-1.9158306679769006</v>
      </c>
      <c r="Y46" s="442">
        <f t="shared" si="2"/>
        <v>-1.9783041362907348</v>
      </c>
      <c r="Z46" s="442">
        <f t="shared" si="2"/>
        <v>-2.0386853441064927</v>
      </c>
      <c r="AA46" s="442">
        <f t="shared" si="2"/>
        <v>-2.0992747753951688</v>
      </c>
      <c r="AB46" s="442">
        <f t="shared" si="2"/>
        <v>-2.1648851550581396</v>
      </c>
      <c r="AC46" s="442">
        <f t="shared" si="2"/>
        <v>-2.2338043380989965</v>
      </c>
    </row>
    <row r="47" spans="2:29" ht="15.75" thickBot="1">
      <c r="C47" s="150" t="s">
        <v>54</v>
      </c>
      <c r="D47" s="187">
        <f>D40-D36</f>
        <v>-0.82971326348635122</v>
      </c>
      <c r="E47" s="187">
        <f t="shared" ref="E47:AC47" si="3">E40-E36</f>
        <v>-0.87316927743387707</v>
      </c>
      <c r="F47" s="187">
        <f t="shared" si="3"/>
        <v>-0.91192957218932158</v>
      </c>
      <c r="G47" s="187">
        <f t="shared" si="3"/>
        <v>-0.94192323151599344</v>
      </c>
      <c r="H47" s="187">
        <f t="shared" si="3"/>
        <v>-0.96659890401399151</v>
      </c>
      <c r="I47" s="187">
        <f t="shared" si="3"/>
        <v>-0.98936995095399349</v>
      </c>
      <c r="J47" s="187">
        <f t="shared" si="3"/>
        <v>-1.0432465826653177</v>
      </c>
      <c r="K47" s="187">
        <f t="shared" si="3"/>
        <v>-1.1081751667693216</v>
      </c>
      <c r="L47" s="187">
        <f t="shared" si="3"/>
        <v>-1.1701723610337742</v>
      </c>
      <c r="M47" s="187">
        <f t="shared" si="3"/>
        <v>-1.2258339630527024</v>
      </c>
      <c r="N47" s="187">
        <f t="shared" si="3"/>
        <v>-1.2821099870779165</v>
      </c>
      <c r="O47" s="187">
        <f t="shared" si="3"/>
        <v>-1.3507838339948621</v>
      </c>
      <c r="P47" s="187">
        <f t="shared" si="3"/>
        <v>-1.4188854756796547</v>
      </c>
      <c r="Q47" s="187">
        <f t="shared" si="3"/>
        <v>-1.4872108868728333</v>
      </c>
      <c r="R47" s="187">
        <f t="shared" si="3"/>
        <v>-1.5540924972445527</v>
      </c>
      <c r="S47" s="188">
        <f t="shared" si="3"/>
        <v>-1.6208971637021601</v>
      </c>
      <c r="T47" s="188">
        <f t="shared" si="3"/>
        <v>-1.681778177928269</v>
      </c>
      <c r="U47" s="188">
        <f t="shared" si="3"/>
        <v>-1.7395747814339964</v>
      </c>
      <c r="V47" s="188">
        <f t="shared" si="3"/>
        <v>-1.7975803219110242</v>
      </c>
      <c r="W47" s="188">
        <f t="shared" si="3"/>
        <v>-1.8569808638578877</v>
      </c>
      <c r="X47" s="188">
        <f t="shared" si="3"/>
        <v>-1.9158306679769006</v>
      </c>
      <c r="Y47" s="188">
        <f t="shared" si="3"/>
        <v>-1.9783041362907348</v>
      </c>
      <c r="Z47" s="188">
        <f t="shared" si="3"/>
        <v>-2.0386853441064927</v>
      </c>
      <c r="AA47" s="188">
        <f t="shared" si="3"/>
        <v>-2.0992747753951688</v>
      </c>
      <c r="AB47" s="188">
        <f t="shared" si="3"/>
        <v>-2.1648851550581396</v>
      </c>
      <c r="AC47" s="188">
        <f t="shared" si="3"/>
        <v>-2.2338043380989965</v>
      </c>
    </row>
    <row r="48" spans="2:29" ht="15.75" thickBot="1">
      <c r="D48" s="184"/>
      <c r="E48" s="184"/>
      <c r="F48" s="184"/>
      <c r="G48" s="184"/>
      <c r="H48" s="184"/>
      <c r="I48" s="184"/>
      <c r="J48" s="184"/>
      <c r="K48" s="184"/>
      <c r="L48" s="184"/>
      <c r="M48" s="184"/>
      <c r="N48" s="184"/>
      <c r="O48" s="184"/>
      <c r="P48" s="184"/>
      <c r="Q48" s="184"/>
      <c r="R48" s="184"/>
      <c r="S48" s="184"/>
      <c r="T48" s="184"/>
      <c r="U48" s="184"/>
      <c r="V48" s="184"/>
      <c r="W48" s="184"/>
      <c r="X48" s="184"/>
      <c r="Y48" s="184"/>
      <c r="Z48" s="184"/>
      <c r="AA48" s="184"/>
      <c r="AB48" s="184"/>
    </row>
    <row r="49" spans="3:29" ht="15.75" thickBot="1">
      <c r="C49" s="147" t="s">
        <v>82</v>
      </c>
      <c r="D49" s="189"/>
      <c r="E49" s="184"/>
      <c r="F49" s="184"/>
      <c r="G49" s="184"/>
      <c r="H49" s="184"/>
      <c r="I49" s="184"/>
      <c r="J49" s="184"/>
      <c r="K49" s="184"/>
      <c r="L49" s="184"/>
      <c r="M49" s="184"/>
      <c r="N49" s="184"/>
      <c r="O49" s="184"/>
      <c r="P49" s="184"/>
      <c r="Q49" s="184"/>
      <c r="R49" s="184"/>
      <c r="S49" s="184"/>
      <c r="T49" s="184"/>
      <c r="U49" s="184"/>
      <c r="V49" s="184"/>
      <c r="W49" s="184"/>
      <c r="X49" s="184"/>
      <c r="Y49" s="184"/>
      <c r="Z49" s="184"/>
      <c r="AA49" s="184"/>
      <c r="AB49" s="184"/>
    </row>
    <row r="50" spans="3:29">
      <c r="C50" s="260"/>
      <c r="D50" s="414">
        <v>2015</v>
      </c>
      <c r="E50" s="415">
        <v>2016</v>
      </c>
      <c r="F50" s="415">
        <v>2017</v>
      </c>
      <c r="G50" s="415">
        <v>2018</v>
      </c>
      <c r="H50" s="415">
        <v>2019</v>
      </c>
      <c r="I50" s="415">
        <v>2020</v>
      </c>
      <c r="J50" s="415">
        <v>2021</v>
      </c>
      <c r="K50" s="415">
        <v>2022</v>
      </c>
      <c r="L50" s="415">
        <v>2023</v>
      </c>
      <c r="M50" s="415">
        <v>2024</v>
      </c>
      <c r="N50" s="415">
        <v>2025</v>
      </c>
      <c r="O50" s="415">
        <v>2026</v>
      </c>
      <c r="P50" s="415">
        <v>2027</v>
      </c>
      <c r="Q50" s="415">
        <v>2028</v>
      </c>
      <c r="R50" s="415">
        <v>2029</v>
      </c>
      <c r="S50" s="415">
        <v>2030</v>
      </c>
      <c r="T50" s="415">
        <v>2031</v>
      </c>
      <c r="U50" s="415">
        <v>2032</v>
      </c>
      <c r="V50" s="415">
        <v>2033</v>
      </c>
      <c r="W50" s="415">
        <v>2034</v>
      </c>
      <c r="X50" s="415">
        <v>2035</v>
      </c>
      <c r="Y50" s="415">
        <v>2036</v>
      </c>
      <c r="Z50" s="415">
        <v>2037</v>
      </c>
      <c r="AA50" s="415">
        <v>2038</v>
      </c>
      <c r="AB50" s="415">
        <v>2039</v>
      </c>
      <c r="AC50" s="416">
        <v>2040</v>
      </c>
    </row>
    <row r="51" spans="3:29">
      <c r="C51" s="151" t="s">
        <v>48</v>
      </c>
      <c r="D51" s="190">
        <f t="shared" ref="D51:AC54" si="4">D44*365/1000</f>
        <v>-6.5517583142927577E-2</v>
      </c>
      <c r="E51" s="190">
        <f t="shared" si="4"/>
        <v>-6.6766798634425667E-2</v>
      </c>
      <c r="F51" s="190">
        <f t="shared" si="4"/>
        <v>-6.8295318214428039E-2</v>
      </c>
      <c r="G51" s="190">
        <f t="shared" si="4"/>
        <v>-6.9897376343094633E-2</v>
      </c>
      <c r="H51" s="190">
        <f t="shared" si="4"/>
        <v>-7.132580458858033E-2</v>
      </c>
      <c r="I51" s="190">
        <f t="shared" si="4"/>
        <v>-7.2905635709692468E-2</v>
      </c>
      <c r="J51" s="190">
        <f t="shared" si="4"/>
        <v>-7.4730072626069385E-2</v>
      </c>
      <c r="K51" s="190">
        <f t="shared" si="4"/>
        <v>-7.6833537123099829E-2</v>
      </c>
      <c r="L51" s="190">
        <f t="shared" si="4"/>
        <v>-7.8923327795259415E-2</v>
      </c>
      <c r="M51" s="190">
        <f t="shared" si="4"/>
        <v>-8.0750192598352283E-2</v>
      </c>
      <c r="N51" s="190">
        <f t="shared" si="4"/>
        <v>-8.317676172958699E-2</v>
      </c>
      <c r="O51" s="190">
        <f t="shared" si="4"/>
        <v>-8.5782076420524198E-2</v>
      </c>
      <c r="P51" s="190">
        <f t="shared" si="4"/>
        <v>-8.8397607138581913E-2</v>
      </c>
      <c r="Q51" s="190">
        <f t="shared" si="4"/>
        <v>-9.1620180355392489E-2</v>
      </c>
      <c r="R51" s="190">
        <f t="shared" si="4"/>
        <v>-9.4454018314167498E-2</v>
      </c>
      <c r="S51" s="190">
        <f t="shared" si="4"/>
        <v>-9.7608247141547755E-2</v>
      </c>
      <c r="T51" s="190">
        <f t="shared" si="4"/>
        <v>-9.9894637833380331E-2</v>
      </c>
      <c r="U51" s="190">
        <f t="shared" si="4"/>
        <v>-0.10257685386608566</v>
      </c>
      <c r="V51" s="190">
        <f t="shared" si="4"/>
        <v>-0.10531529378580415</v>
      </c>
      <c r="W51" s="190">
        <f t="shared" si="4"/>
        <v>-0.10795470141720177</v>
      </c>
      <c r="X51" s="190">
        <f t="shared" si="4"/>
        <v>-0.11070129469819513</v>
      </c>
      <c r="Y51" s="190">
        <f t="shared" si="4"/>
        <v>-0.11350995910566537</v>
      </c>
      <c r="Z51" s="190">
        <f t="shared" si="4"/>
        <v>-0.11609993869566392</v>
      </c>
      <c r="AA51" s="190">
        <f t="shared" si="4"/>
        <v>-0.11886187422366178</v>
      </c>
      <c r="AB51" s="190">
        <f t="shared" si="4"/>
        <v>-0.12161662459365903</v>
      </c>
      <c r="AC51" s="190">
        <f t="shared" si="4"/>
        <v>-0.12473110628233122</v>
      </c>
    </row>
    <row r="52" spans="3:29">
      <c r="C52" s="151" t="s">
        <v>53</v>
      </c>
      <c r="D52" s="190">
        <f t="shared" si="4"/>
        <v>-0.21812572275342623</v>
      </c>
      <c r="E52" s="190">
        <f t="shared" si="4"/>
        <v>-0.22185856015061703</v>
      </c>
      <c r="F52" s="190">
        <f t="shared" si="4"/>
        <v>-0.22564798987663412</v>
      </c>
      <c r="G52" s="190">
        <f t="shared" si="4"/>
        <v>-0.22968722599078506</v>
      </c>
      <c r="H52" s="190">
        <f t="shared" si="4"/>
        <v>-0.23364782411703691</v>
      </c>
      <c r="I52" s="190">
        <f t="shared" si="4"/>
        <v>-0.23699993381503354</v>
      </c>
      <c r="J52" s="190">
        <f t="shared" si="4"/>
        <v>-0.242622851318086</v>
      </c>
      <c r="K52" s="190">
        <f t="shared" si="4"/>
        <v>-0.24810117632182674</v>
      </c>
      <c r="L52" s="190">
        <f t="shared" si="4"/>
        <v>-0.25355337677404149</v>
      </c>
      <c r="M52" s="190">
        <f t="shared" si="4"/>
        <v>-0.25840995869866373</v>
      </c>
      <c r="N52" s="190">
        <f t="shared" si="4"/>
        <v>-0.26393206505091699</v>
      </c>
      <c r="O52" s="190">
        <f t="shared" si="4"/>
        <v>-0.27027996423461531</v>
      </c>
      <c r="P52" s="190">
        <f t="shared" si="4"/>
        <v>-0.27698110192847097</v>
      </c>
      <c r="Q52" s="190">
        <f t="shared" si="4"/>
        <v>-0.28423998182265281</v>
      </c>
      <c r="R52" s="190">
        <f t="shared" si="4"/>
        <v>-0.29147571497506558</v>
      </c>
      <c r="S52" s="190">
        <f t="shared" si="4"/>
        <v>-0.29890719606246863</v>
      </c>
      <c r="T52" s="190">
        <f t="shared" si="4"/>
        <v>-0.30533938491687024</v>
      </c>
      <c r="U52" s="190">
        <f t="shared" si="4"/>
        <v>-0.31188629156439357</v>
      </c>
      <c r="V52" s="190">
        <f t="shared" si="4"/>
        <v>-0.31849534585091421</v>
      </c>
      <c r="W52" s="190">
        <f t="shared" si="4"/>
        <v>-0.32539472474937947</v>
      </c>
      <c r="X52" s="190">
        <f t="shared" si="4"/>
        <v>-0.33212836037297649</v>
      </c>
      <c r="Y52" s="190">
        <f t="shared" si="4"/>
        <v>-0.33937984175184382</v>
      </c>
      <c r="Z52" s="190">
        <f t="shared" si="4"/>
        <v>-0.34633817325348082</v>
      </c>
      <c r="AA52" s="190">
        <f t="shared" si="4"/>
        <v>-0.35312047093381188</v>
      </c>
      <c r="AB52" s="190">
        <f t="shared" si="4"/>
        <v>-0.36043930192815266</v>
      </c>
      <c r="AC52" s="190">
        <f t="shared" si="4"/>
        <v>-0.36817399299177611</v>
      </c>
    </row>
    <row r="53" spans="3:29">
      <c r="C53" s="443" t="s">
        <v>160</v>
      </c>
      <c r="D53" s="190">
        <f>D46*365/1000</f>
        <v>-0.25449780290586399</v>
      </c>
      <c r="E53" s="190">
        <f t="shared" si="4"/>
        <v>-0.27588777370159445</v>
      </c>
      <c r="F53" s="190">
        <f t="shared" si="4"/>
        <v>-0.29693810568093287</v>
      </c>
      <c r="G53" s="190">
        <f t="shared" si="4"/>
        <v>-0.31754972008497945</v>
      </c>
      <c r="H53" s="190">
        <f t="shared" si="4"/>
        <v>-0.3376038312947337</v>
      </c>
      <c r="I53" s="190">
        <f t="shared" si="4"/>
        <v>-0.35558555421237797</v>
      </c>
      <c r="J53" s="190">
        <f t="shared" si="4"/>
        <v>-0.38078500267284093</v>
      </c>
      <c r="K53" s="190">
        <f t="shared" si="4"/>
        <v>-0.40448393587080239</v>
      </c>
      <c r="L53" s="190">
        <f t="shared" si="4"/>
        <v>-0.42711291177732763</v>
      </c>
      <c r="M53" s="190">
        <f t="shared" si="4"/>
        <v>-0.44742939651423635</v>
      </c>
      <c r="N53" s="190">
        <f t="shared" si="4"/>
        <v>-0.4679701452834395</v>
      </c>
      <c r="O53" s="190">
        <f t="shared" si="4"/>
        <v>-0.49303609940812471</v>
      </c>
      <c r="P53" s="190">
        <f t="shared" si="4"/>
        <v>-0.51789319862307404</v>
      </c>
      <c r="Q53" s="190">
        <f t="shared" si="4"/>
        <v>-0.54283197370858416</v>
      </c>
      <c r="R53" s="190">
        <f t="shared" si="4"/>
        <v>-0.56724376149426181</v>
      </c>
      <c r="S53" s="190">
        <f t="shared" si="4"/>
        <v>-0.59162746475128847</v>
      </c>
      <c r="T53" s="190">
        <f t="shared" si="4"/>
        <v>-0.61384903494381815</v>
      </c>
      <c r="U53" s="190">
        <f t="shared" si="4"/>
        <v>-0.63494479522340863</v>
      </c>
      <c r="V53" s="190">
        <f t="shared" si="4"/>
        <v>-0.65611681749752382</v>
      </c>
      <c r="W53" s="190">
        <f t="shared" si="4"/>
        <v>-0.677798015308129</v>
      </c>
      <c r="X53" s="190">
        <f t="shared" si="4"/>
        <v>-0.69927819381156875</v>
      </c>
      <c r="Y53" s="190">
        <f t="shared" si="4"/>
        <v>-0.72208100974611822</v>
      </c>
      <c r="Z53" s="190">
        <f t="shared" si="4"/>
        <v>-0.74412015059886982</v>
      </c>
      <c r="AA53" s="190">
        <f t="shared" si="4"/>
        <v>-0.76623529301923654</v>
      </c>
      <c r="AB53" s="190">
        <f t="shared" si="4"/>
        <v>-0.79018308159622097</v>
      </c>
      <c r="AC53" s="190">
        <f t="shared" si="4"/>
        <v>-0.81533858340613374</v>
      </c>
    </row>
    <row r="54" spans="3:29" ht="15.75" thickBot="1">
      <c r="C54" s="152" t="s">
        <v>54</v>
      </c>
      <c r="D54" s="190">
        <f t="shared" ref="D54:T54" si="5">D47*365/1000</f>
        <v>-0.30284534117251821</v>
      </c>
      <c r="E54" s="190">
        <f t="shared" si="5"/>
        <v>-0.31870678626336513</v>
      </c>
      <c r="F54" s="190">
        <f t="shared" si="5"/>
        <v>-0.33285429384910237</v>
      </c>
      <c r="G54" s="190">
        <f t="shared" si="5"/>
        <v>-0.34380197950333763</v>
      </c>
      <c r="H54" s="190">
        <f t="shared" si="5"/>
        <v>-0.35280859996510688</v>
      </c>
      <c r="I54" s="190">
        <f t="shared" si="5"/>
        <v>-0.36112003209820764</v>
      </c>
      <c r="J54" s="190">
        <f t="shared" si="5"/>
        <v>-0.38078500267284093</v>
      </c>
      <c r="K54" s="190">
        <f t="shared" si="5"/>
        <v>-0.40448393587080239</v>
      </c>
      <c r="L54" s="190">
        <f t="shared" si="5"/>
        <v>-0.42711291177732763</v>
      </c>
      <c r="M54" s="190">
        <f t="shared" si="5"/>
        <v>-0.44742939651423635</v>
      </c>
      <c r="N54" s="190">
        <f t="shared" si="5"/>
        <v>-0.4679701452834395</v>
      </c>
      <c r="O54" s="190">
        <f t="shared" si="5"/>
        <v>-0.49303609940812471</v>
      </c>
      <c r="P54" s="190">
        <f t="shared" si="5"/>
        <v>-0.51789319862307404</v>
      </c>
      <c r="Q54" s="190">
        <f t="shared" si="5"/>
        <v>-0.54283197370858416</v>
      </c>
      <c r="R54" s="190">
        <f t="shared" si="5"/>
        <v>-0.56724376149426181</v>
      </c>
      <c r="S54" s="190">
        <f t="shared" si="5"/>
        <v>-0.59162746475128847</v>
      </c>
      <c r="T54" s="190">
        <f t="shared" si="5"/>
        <v>-0.61384903494381815</v>
      </c>
      <c r="U54" s="190">
        <f t="shared" si="4"/>
        <v>-0.63494479522340863</v>
      </c>
      <c r="V54" s="190">
        <f t="shared" si="4"/>
        <v>-0.65611681749752382</v>
      </c>
      <c r="W54" s="190">
        <f t="shared" si="4"/>
        <v>-0.677798015308129</v>
      </c>
      <c r="X54" s="190">
        <f t="shared" si="4"/>
        <v>-0.69927819381156875</v>
      </c>
      <c r="Y54" s="190">
        <f t="shared" si="4"/>
        <v>-0.72208100974611822</v>
      </c>
      <c r="Z54" s="190">
        <f t="shared" si="4"/>
        <v>-0.74412015059886982</v>
      </c>
      <c r="AA54" s="190">
        <f t="shared" si="4"/>
        <v>-0.76623529301923654</v>
      </c>
      <c r="AB54" s="190">
        <f t="shared" si="4"/>
        <v>-0.79018308159622097</v>
      </c>
      <c r="AC54" s="190">
        <f t="shared" si="4"/>
        <v>-0.81533858340613374</v>
      </c>
    </row>
    <row r="55" spans="3:29" ht="15.75" thickBot="1"/>
    <row r="56" spans="3:29" ht="15.75" thickBot="1">
      <c r="C56" s="236" t="s">
        <v>83</v>
      </c>
      <c r="D56" s="122">
        <v>0</v>
      </c>
      <c r="E56" s="122">
        <v>1</v>
      </c>
      <c r="F56" s="122">
        <v>2</v>
      </c>
      <c r="G56" s="122">
        <v>3</v>
      </c>
      <c r="H56" s="122">
        <v>4</v>
      </c>
      <c r="I56" s="122">
        <v>5</v>
      </c>
      <c r="J56" s="122">
        <v>6</v>
      </c>
      <c r="K56" s="122">
        <v>7</v>
      </c>
      <c r="L56" s="122">
        <v>8</v>
      </c>
      <c r="M56" s="122">
        <v>9</v>
      </c>
      <c r="N56" s="122">
        <v>10</v>
      </c>
      <c r="O56" s="122">
        <v>11</v>
      </c>
      <c r="P56" s="122">
        <v>12</v>
      </c>
      <c r="Q56" s="122">
        <v>13</v>
      </c>
      <c r="R56" s="122">
        <v>14</v>
      </c>
      <c r="S56" s="122">
        <v>15</v>
      </c>
      <c r="T56" s="122"/>
      <c r="U56" s="122"/>
      <c r="V56" s="122"/>
      <c r="W56" s="122"/>
      <c r="X56" s="122"/>
      <c r="Y56" s="122"/>
      <c r="Z56" s="122"/>
      <c r="AA56" s="122"/>
      <c r="AB56" s="122"/>
    </row>
    <row r="57" spans="3:29" ht="15.75" thickBot="1">
      <c r="C57" s="344" t="s">
        <v>144</v>
      </c>
      <c r="D57" s="360">
        <v>2015</v>
      </c>
      <c r="E57" s="361">
        <v>2016</v>
      </c>
      <c r="F57" s="361">
        <v>2017</v>
      </c>
      <c r="G57" s="361">
        <v>2018</v>
      </c>
      <c r="H57" s="361">
        <v>2019</v>
      </c>
      <c r="I57" s="361">
        <v>2020</v>
      </c>
      <c r="J57" s="361">
        <v>2021</v>
      </c>
      <c r="K57" s="361">
        <v>2022</v>
      </c>
      <c r="L57" s="361">
        <v>2023</v>
      </c>
      <c r="M57" s="361">
        <v>2024</v>
      </c>
      <c r="N57" s="361">
        <v>2025</v>
      </c>
      <c r="O57" s="361">
        <v>2026</v>
      </c>
      <c r="P57" s="361">
        <v>2027</v>
      </c>
      <c r="Q57" s="361">
        <v>2028</v>
      </c>
      <c r="R57" s="361">
        <v>2029</v>
      </c>
      <c r="S57" s="361">
        <v>2030</v>
      </c>
      <c r="T57" s="361">
        <v>2031</v>
      </c>
      <c r="U57" s="361">
        <v>2032</v>
      </c>
      <c r="V57" s="361">
        <v>2033</v>
      </c>
      <c r="W57" s="361">
        <v>2034</v>
      </c>
      <c r="X57" s="361">
        <v>2035</v>
      </c>
      <c r="Y57" s="361">
        <v>2036</v>
      </c>
      <c r="Z57" s="361">
        <v>2037</v>
      </c>
      <c r="AA57" s="361">
        <v>2038</v>
      </c>
      <c r="AB57" s="361">
        <v>2039</v>
      </c>
      <c r="AC57" s="362">
        <v>2040</v>
      </c>
    </row>
    <row r="58" spans="3:29">
      <c r="C58" s="151" t="s">
        <v>48</v>
      </c>
      <c r="D58" s="191">
        <f t="shared" ref="D58:AC58" si="6">-(D51/1000)*$C$30</f>
        <v>7.1943065340304077E-2</v>
      </c>
      <c r="E58" s="191">
        <f t="shared" si="6"/>
        <v>7.3314794690162874E-2</v>
      </c>
      <c r="F58" s="191">
        <f t="shared" si="6"/>
        <v>7.4993220217217979E-2</v>
      </c>
      <c r="G58" s="191">
        <f t="shared" si="6"/>
        <v>7.6752396412380602E-2</v>
      </c>
      <c r="H58" s="191">
        <f t="shared" si="6"/>
        <v>7.8320914383727749E-2</v>
      </c>
      <c r="I58" s="191">
        <f t="shared" si="6"/>
        <v>8.0055683710075917E-2</v>
      </c>
      <c r="J58" s="191">
        <f t="shared" si="6"/>
        <v>8.2059047967237703E-2</v>
      </c>
      <c r="K58" s="191">
        <f t="shared" si="6"/>
        <v>8.4368804775890788E-2</v>
      </c>
      <c r="L58" s="191">
        <f t="shared" si="6"/>
        <v>8.6663546731599886E-2</v>
      </c>
      <c r="M58" s="191">
        <f t="shared" si="6"/>
        <v>8.8669576984732004E-2</v>
      </c>
      <c r="N58" s="191">
        <f t="shared" si="6"/>
        <v>9.1334126151332767E-2</v>
      </c>
      <c r="O58" s="191">
        <f t="shared" si="6"/>
        <v>9.4194950926160897E-2</v>
      </c>
      <c r="P58" s="191">
        <f t="shared" si="6"/>
        <v>9.7066993640836513E-2</v>
      </c>
      <c r="Q58" s="191">
        <f t="shared" si="6"/>
        <v>0.10060561311333982</v>
      </c>
      <c r="R58" s="191">
        <f t="shared" si="6"/>
        <v>0.10371737303566826</v>
      </c>
      <c r="S58" s="191">
        <f t="shared" si="6"/>
        <v>0.10718094540419487</v>
      </c>
      <c r="T58" s="191">
        <f t="shared" si="6"/>
        <v>0.10969156846208662</v>
      </c>
      <c r="U58" s="191">
        <f t="shared" si="6"/>
        <v>0.11263683649611606</v>
      </c>
      <c r="V58" s="191">
        <f t="shared" si="6"/>
        <v>0.11564384244206222</v>
      </c>
      <c r="W58" s="191">
        <f t="shared" si="6"/>
        <v>0.11854210374195015</v>
      </c>
      <c r="X58" s="191">
        <f t="shared" si="6"/>
        <v>0.12155806267081787</v>
      </c>
      <c r="Y58" s="191">
        <f t="shared" si="6"/>
        <v>0.12464218020526373</v>
      </c>
      <c r="Z58" s="191">
        <f t="shared" si="6"/>
        <v>0.12748616592535408</v>
      </c>
      <c r="AA58" s="191">
        <f t="shared" si="6"/>
        <v>0.13051897175585894</v>
      </c>
      <c r="AB58" s="191">
        <f t="shared" si="6"/>
        <v>0.13354388776096546</v>
      </c>
      <c r="AC58" s="191">
        <f t="shared" si="6"/>
        <v>0.13696381488404816</v>
      </c>
    </row>
    <row r="59" spans="3:29">
      <c r="C59" s="151" t="s">
        <v>53</v>
      </c>
      <c r="D59" s="191">
        <f t="shared" ref="D59:AC59" si="7">-(D52/1000)*$C$30</f>
        <v>0.23951788774346397</v>
      </c>
      <c r="E59" s="191">
        <f t="shared" si="7"/>
        <v>0.2436168143504632</v>
      </c>
      <c r="F59" s="191">
        <f t="shared" si="7"/>
        <v>0.2477778834452527</v>
      </c>
      <c r="G59" s="191">
        <f t="shared" si="7"/>
        <v>0.25221325809958539</v>
      </c>
      <c r="H59" s="191">
        <f t="shared" si="7"/>
        <v>0.25656228253111896</v>
      </c>
      <c r="I59" s="191">
        <f t="shared" si="7"/>
        <v>0.26024314246920216</v>
      </c>
      <c r="J59" s="191">
        <f t="shared" si="7"/>
        <v>0.26641751432359057</v>
      </c>
      <c r="K59" s="191">
        <f t="shared" si="7"/>
        <v>0.27243311311086188</v>
      </c>
      <c r="L59" s="191">
        <f t="shared" si="7"/>
        <v>0.27842002524292914</v>
      </c>
      <c r="M59" s="191">
        <f t="shared" si="7"/>
        <v>0.28375290496731431</v>
      </c>
      <c r="N59" s="191">
        <f t="shared" si="7"/>
        <v>0.28981657885543072</v>
      </c>
      <c r="O59" s="191">
        <f t="shared" si="7"/>
        <v>0.29678703325620132</v>
      </c>
      <c r="P59" s="191">
        <f t="shared" si="7"/>
        <v>0.30414536919957275</v>
      </c>
      <c r="Q59" s="191">
        <f t="shared" si="7"/>
        <v>0.31211614659203696</v>
      </c>
      <c r="R59" s="191">
        <f t="shared" si="7"/>
        <v>0.32006150718071169</v>
      </c>
      <c r="S59" s="191">
        <f t="shared" si="7"/>
        <v>0.32822181322069394</v>
      </c>
      <c r="T59" s="191">
        <f t="shared" si="7"/>
        <v>0.33528482380250818</v>
      </c>
      <c r="U59" s="191">
        <f t="shared" si="7"/>
        <v>0.34247380285401163</v>
      </c>
      <c r="V59" s="191">
        <f t="shared" si="7"/>
        <v>0.3497310245273984</v>
      </c>
      <c r="W59" s="191">
        <f t="shared" si="7"/>
        <v>0.35730704371322491</v>
      </c>
      <c r="X59" s="191">
        <f t="shared" si="7"/>
        <v>0.36470106474402858</v>
      </c>
      <c r="Y59" s="191">
        <f t="shared" si="7"/>
        <v>0.37266371802926612</v>
      </c>
      <c r="Z59" s="191">
        <f t="shared" si="7"/>
        <v>0.38030447145555918</v>
      </c>
      <c r="AA59" s="191">
        <f t="shared" si="7"/>
        <v>0.38775192695935884</v>
      </c>
      <c r="AB59" s="191">
        <f t="shared" si="7"/>
        <v>0.39578853501451022</v>
      </c>
      <c r="AC59" s="191">
        <f t="shared" si="7"/>
        <v>0.40428178763287081</v>
      </c>
    </row>
    <row r="60" spans="3:29">
      <c r="C60" s="443" t="s">
        <v>160</v>
      </c>
      <c r="D60" s="191">
        <f t="shared" ref="D60:AC60" si="8">-(D53/1000)*$C$30</f>
        <v>0.27945707373665296</v>
      </c>
      <c r="E60" s="191">
        <f t="shared" si="8"/>
        <v>0.30294481538956747</v>
      </c>
      <c r="F60" s="191">
        <f t="shared" si="8"/>
        <v>0.32605960895148656</v>
      </c>
      <c r="G60" s="191">
        <f t="shared" si="8"/>
        <v>0.34869265874828065</v>
      </c>
      <c r="H60" s="191">
        <f t="shared" si="8"/>
        <v>0.3707135295419679</v>
      </c>
      <c r="I60" s="191">
        <f t="shared" si="8"/>
        <v>0.39045876745731023</v>
      </c>
      <c r="J60" s="191">
        <f t="shared" si="8"/>
        <v>0.41812959229796082</v>
      </c>
      <c r="K60" s="191">
        <f t="shared" si="8"/>
        <v>0.44415274238634267</v>
      </c>
      <c r="L60" s="191">
        <f t="shared" si="8"/>
        <v>0.4690010016494448</v>
      </c>
      <c r="M60" s="191">
        <f t="shared" si="8"/>
        <v>0.49130997763416862</v>
      </c>
      <c r="N60" s="191">
        <f t="shared" si="8"/>
        <v>0.51386521181638478</v>
      </c>
      <c r="O60" s="191">
        <f t="shared" si="8"/>
        <v>0.54138945017962414</v>
      </c>
      <c r="P60" s="191">
        <f t="shared" si="8"/>
        <v>0.56868435068122425</v>
      </c>
      <c r="Q60" s="191">
        <f t="shared" si="8"/>
        <v>0.59606893722145105</v>
      </c>
      <c r="R60" s="191">
        <f t="shared" si="8"/>
        <v>0.62287485342729365</v>
      </c>
      <c r="S60" s="191">
        <f t="shared" si="8"/>
        <v>0.64964993078068078</v>
      </c>
      <c r="T60" s="191">
        <f t="shared" si="8"/>
        <v>0.67405082897678403</v>
      </c>
      <c r="U60" s="191">
        <f t="shared" si="8"/>
        <v>0.69721550611218908</v>
      </c>
      <c r="V60" s="191">
        <f t="shared" si="8"/>
        <v>0.7204639244570813</v>
      </c>
      <c r="W60" s="191">
        <f t="shared" si="8"/>
        <v>0.74427145452640142</v>
      </c>
      <c r="X60" s="191">
        <f t="shared" si="8"/>
        <v>0.76785825079486514</v>
      </c>
      <c r="Y60" s="191">
        <f t="shared" si="8"/>
        <v>0.79289739903608514</v>
      </c>
      <c r="Z60" s="191">
        <f t="shared" si="8"/>
        <v>0.81709797656585659</v>
      </c>
      <c r="AA60" s="191">
        <f t="shared" si="8"/>
        <v>0.841382009337452</v>
      </c>
      <c r="AB60" s="191">
        <f t="shared" si="8"/>
        <v>0.86767842070829415</v>
      </c>
      <c r="AC60" s="191">
        <f t="shared" si="8"/>
        <v>0.89530098893445509</v>
      </c>
    </row>
    <row r="61" spans="3:29" ht="15.75" thickBot="1">
      <c r="C61" s="152" t="s">
        <v>54</v>
      </c>
      <c r="D61" s="191">
        <f t="shared" ref="D61:AC61" si="9">-(D54/1000)*$C$30</f>
        <v>0.33254618260950103</v>
      </c>
      <c r="E61" s="191">
        <f t="shared" si="9"/>
        <v>0.34996320145882381</v>
      </c>
      <c r="F61" s="191">
        <f t="shared" si="9"/>
        <v>0.36549819243098414</v>
      </c>
      <c r="G61" s="191">
        <f t="shared" si="9"/>
        <v>0.37751954649451197</v>
      </c>
      <c r="H61" s="191">
        <f t="shared" si="9"/>
        <v>0.38740946998211745</v>
      </c>
      <c r="I61" s="191">
        <f t="shared" si="9"/>
        <v>0.39653602618793382</v>
      </c>
      <c r="J61" s="191">
        <f t="shared" si="9"/>
        <v>0.41812959229796082</v>
      </c>
      <c r="K61" s="191">
        <f t="shared" si="9"/>
        <v>0.44415274238634267</v>
      </c>
      <c r="L61" s="191">
        <f t="shared" si="9"/>
        <v>0.4690010016494448</v>
      </c>
      <c r="M61" s="191">
        <f t="shared" si="9"/>
        <v>0.49130997763416862</v>
      </c>
      <c r="N61" s="191">
        <f t="shared" si="9"/>
        <v>0.51386521181638478</v>
      </c>
      <c r="O61" s="191">
        <f t="shared" si="9"/>
        <v>0.54138945017962414</v>
      </c>
      <c r="P61" s="191">
        <f t="shared" si="9"/>
        <v>0.56868435068122425</v>
      </c>
      <c r="Q61" s="191">
        <f t="shared" si="9"/>
        <v>0.59606893722145105</v>
      </c>
      <c r="R61" s="191">
        <f t="shared" si="9"/>
        <v>0.62287485342729365</v>
      </c>
      <c r="S61" s="191">
        <f t="shared" si="9"/>
        <v>0.64964993078068078</v>
      </c>
      <c r="T61" s="191">
        <f t="shared" si="9"/>
        <v>0.67405082897678403</v>
      </c>
      <c r="U61" s="191">
        <f t="shared" si="9"/>
        <v>0.69721550611218908</v>
      </c>
      <c r="V61" s="191">
        <f t="shared" si="9"/>
        <v>0.7204639244570813</v>
      </c>
      <c r="W61" s="191">
        <f t="shared" si="9"/>
        <v>0.74427145452640142</v>
      </c>
      <c r="X61" s="191">
        <f t="shared" si="9"/>
        <v>0.76785825079486514</v>
      </c>
      <c r="Y61" s="191">
        <f t="shared" si="9"/>
        <v>0.79289739903608514</v>
      </c>
      <c r="Z61" s="191">
        <f t="shared" si="9"/>
        <v>0.81709797656585659</v>
      </c>
      <c r="AA61" s="191">
        <f t="shared" si="9"/>
        <v>0.841382009337452</v>
      </c>
      <c r="AB61" s="191">
        <f t="shared" si="9"/>
        <v>0.86767842070829415</v>
      </c>
      <c r="AC61" s="191">
        <f t="shared" si="9"/>
        <v>0.89530098893445509</v>
      </c>
    </row>
    <row r="62" spans="3:29">
      <c r="C62" s="344" t="s">
        <v>260</v>
      </c>
      <c r="D62" s="414">
        <v>2015</v>
      </c>
      <c r="E62" s="415">
        <v>2016</v>
      </c>
      <c r="F62" s="415">
        <v>2017</v>
      </c>
      <c r="G62" s="415">
        <v>2018</v>
      </c>
      <c r="H62" s="415">
        <v>2019</v>
      </c>
      <c r="I62" s="415">
        <v>2020</v>
      </c>
      <c r="J62" s="415">
        <v>2021</v>
      </c>
      <c r="K62" s="415">
        <v>2022</v>
      </c>
      <c r="L62" s="415">
        <v>2023</v>
      </c>
      <c r="M62" s="415">
        <v>2024</v>
      </c>
      <c r="N62" s="415">
        <v>2025</v>
      </c>
      <c r="O62" s="415">
        <v>2026</v>
      </c>
      <c r="P62" s="415">
        <v>2027</v>
      </c>
      <c r="Q62" s="415">
        <v>2028</v>
      </c>
      <c r="R62" s="415">
        <v>2029</v>
      </c>
      <c r="S62" s="416">
        <v>2030</v>
      </c>
      <c r="T62" s="415">
        <v>2031</v>
      </c>
      <c r="U62" s="416">
        <v>2032</v>
      </c>
      <c r="V62" s="415">
        <v>2033</v>
      </c>
      <c r="W62" s="416">
        <v>2034</v>
      </c>
      <c r="X62" s="415">
        <v>2035</v>
      </c>
      <c r="Y62" s="416">
        <v>2036</v>
      </c>
      <c r="Z62" s="415">
        <v>2037</v>
      </c>
      <c r="AA62" s="416">
        <v>2038</v>
      </c>
      <c r="AB62" s="415">
        <v>2039</v>
      </c>
      <c r="AC62" s="416">
        <v>2040</v>
      </c>
    </row>
    <row r="63" spans="3:29">
      <c r="C63" s="151" t="s">
        <v>48</v>
      </c>
      <c r="D63" s="191">
        <f t="shared" ref="D63:AC63" si="10">-(D51/1000)*$D$30</f>
        <v>0.21642859390655447</v>
      </c>
      <c r="E63" s="191">
        <f t="shared" si="10"/>
        <v>0.22055521059999098</v>
      </c>
      <c r="F63" s="191">
        <f t="shared" si="10"/>
        <v>0.22560447108227819</v>
      </c>
      <c r="G63" s="191">
        <f t="shared" si="10"/>
        <v>0.23089665634783474</v>
      </c>
      <c r="H63" s="191">
        <f t="shared" si="10"/>
        <v>0.2356152784617252</v>
      </c>
      <c r="I63" s="191">
        <f t="shared" si="10"/>
        <v>0.24083403977357351</v>
      </c>
      <c r="J63" s="191">
        <f t="shared" si="10"/>
        <v>0.24686082369234646</v>
      </c>
      <c r="K63" s="191">
        <f t="shared" si="10"/>
        <v>0.25380933799317962</v>
      </c>
      <c r="L63" s="191">
        <f t="shared" si="10"/>
        <v>0.26071268263804931</v>
      </c>
      <c r="M63" s="191">
        <f t="shared" si="10"/>
        <v>0.26674748675663562</v>
      </c>
      <c r="N63" s="191">
        <f t="shared" si="10"/>
        <v>0.27476333410473597</v>
      </c>
      <c r="O63" s="191">
        <f t="shared" si="10"/>
        <v>0.28336964355930711</v>
      </c>
      <c r="P63" s="191">
        <f t="shared" si="10"/>
        <v>0.29200970029634715</v>
      </c>
      <c r="Q63" s="191">
        <f t="shared" si="10"/>
        <v>0.30265504093038309</v>
      </c>
      <c r="R63" s="191">
        <f t="shared" si="10"/>
        <v>0.31201624650841425</v>
      </c>
      <c r="S63" s="191">
        <f t="shared" si="10"/>
        <v>0.32243582057115378</v>
      </c>
      <c r="T63" s="191">
        <f t="shared" si="10"/>
        <v>0.32998860714868761</v>
      </c>
      <c r="U63" s="191">
        <f t="shared" si="10"/>
        <v>0.3388489499248496</v>
      </c>
      <c r="V63" s="191">
        <f t="shared" si="10"/>
        <v>0.34789502080981061</v>
      </c>
      <c r="W63" s="191">
        <f t="shared" si="10"/>
        <v>0.35661395174417437</v>
      </c>
      <c r="X63" s="191">
        <f t="shared" si="10"/>
        <v>0.36568695617020458</v>
      </c>
      <c r="Y63" s="191">
        <f t="shared" si="10"/>
        <v>0.37496500428040547</v>
      </c>
      <c r="Z63" s="191">
        <f t="shared" si="10"/>
        <v>0.38352065627518706</v>
      </c>
      <c r="AA63" s="191">
        <f t="shared" si="10"/>
        <v>0.39264434176708179</v>
      </c>
      <c r="AB63" s="191">
        <f t="shared" si="10"/>
        <v>0.40174429204823658</v>
      </c>
      <c r="AC63" s="191">
        <f t="shared" si="10"/>
        <v>0.41203256674171168</v>
      </c>
    </row>
    <row r="64" spans="3:29">
      <c r="C64" s="151" t="s">
        <v>53</v>
      </c>
      <c r="D64" s="191">
        <f t="shared" ref="D64:AC64" si="11">-(D52/1000)*$D$30</f>
        <v>0.72054922061744286</v>
      </c>
      <c r="E64" s="191">
        <f t="shared" si="11"/>
        <v>0.73288015088685443</v>
      </c>
      <c r="F64" s="191">
        <f t="shared" si="11"/>
        <v>0.74539802636343333</v>
      </c>
      <c r="G64" s="191">
        <f t="shared" si="11"/>
        <v>0.75874110391156524</v>
      </c>
      <c r="H64" s="191">
        <f t="shared" si="11"/>
        <v>0.77182441135933333</v>
      </c>
      <c r="I64" s="191">
        <f t="shared" si="11"/>
        <v>0.78289765847492454</v>
      </c>
      <c r="J64" s="191">
        <f t="shared" si="11"/>
        <v>0.801472216180806</v>
      </c>
      <c r="K64" s="191">
        <f t="shared" si="11"/>
        <v>0.81956913185817748</v>
      </c>
      <c r="L64" s="191">
        <f t="shared" si="11"/>
        <v>0.83757974856537964</v>
      </c>
      <c r="M64" s="191">
        <f t="shared" si="11"/>
        <v>0.85362281894001446</v>
      </c>
      <c r="N64" s="191">
        <f t="shared" si="11"/>
        <v>0.87186436046045501</v>
      </c>
      <c r="O64" s="191">
        <f t="shared" si="11"/>
        <v>0.89283379841409993</v>
      </c>
      <c r="P64" s="191">
        <f t="shared" si="11"/>
        <v>0.91497011265346218</v>
      </c>
      <c r="Q64" s="191">
        <f t="shared" si="11"/>
        <v>0.93894885383210291</v>
      </c>
      <c r="R64" s="191">
        <f t="shared" si="11"/>
        <v>0.96285113283777746</v>
      </c>
      <c r="S64" s="191">
        <f t="shared" si="11"/>
        <v>0.98740003902806051</v>
      </c>
      <c r="T64" s="191">
        <f t="shared" si="11"/>
        <v>1.0086479166621094</v>
      </c>
      <c r="U64" s="191">
        <f t="shared" si="11"/>
        <v>1.0302747492189495</v>
      </c>
      <c r="V64" s="191">
        <f t="shared" si="11"/>
        <v>1.0521068782088627</v>
      </c>
      <c r="W64" s="191">
        <f t="shared" si="11"/>
        <v>1.0748980558163441</v>
      </c>
      <c r="X64" s="191">
        <f t="shared" si="11"/>
        <v>1.0971417226304105</v>
      </c>
      <c r="Y64" s="191">
        <f t="shared" si="11"/>
        <v>1.1210960238008933</v>
      </c>
      <c r="Z64" s="191">
        <f t="shared" si="11"/>
        <v>1.1440819434669109</v>
      </c>
      <c r="AA64" s="191">
        <f t="shared" si="11"/>
        <v>1.1664863588924241</v>
      </c>
      <c r="AB64" s="191">
        <f t="shared" si="11"/>
        <v>1.1906631405311692</v>
      </c>
      <c r="AC64" s="191">
        <f t="shared" si="11"/>
        <v>1.2162136604206124</v>
      </c>
    </row>
    <row r="65" spans="3:29">
      <c r="C65" s="443" t="s">
        <v>160</v>
      </c>
      <c r="D65" s="191">
        <f t="shared" ref="D65:AC65" si="12">-(D53/1000)*$D$30</f>
        <v>0.84069953427714872</v>
      </c>
      <c r="E65" s="191">
        <f t="shared" si="12"/>
        <v>0.91135844873867722</v>
      </c>
      <c r="F65" s="191">
        <f t="shared" si="12"/>
        <v>0.98089541168823613</v>
      </c>
      <c r="G65" s="191">
        <f t="shared" si="12"/>
        <v>1.0489831296658709</v>
      </c>
      <c r="H65" s="191">
        <f t="shared" si="12"/>
        <v>1.1152292102287693</v>
      </c>
      <c r="I65" s="191">
        <f t="shared" si="12"/>
        <v>1.1746294325872939</v>
      </c>
      <c r="J65" s="191">
        <f t="shared" si="12"/>
        <v>1.2578724482159529</v>
      </c>
      <c r="K65" s="191">
        <f t="shared" si="12"/>
        <v>1.3361587118885749</v>
      </c>
      <c r="L65" s="191">
        <f t="shared" si="12"/>
        <v>1.410910514413257</v>
      </c>
      <c r="M65" s="191">
        <f t="shared" si="12"/>
        <v>1.4780233109146308</v>
      </c>
      <c r="N65" s="191">
        <f t="shared" si="12"/>
        <v>1.5458769337231562</v>
      </c>
      <c r="O65" s="191">
        <f t="shared" si="12"/>
        <v>1.6286789686257126</v>
      </c>
      <c r="P65" s="191">
        <f t="shared" si="12"/>
        <v>1.7107910792014509</v>
      </c>
      <c r="Q65" s="191">
        <f t="shared" si="12"/>
        <v>1.7931729951175817</v>
      </c>
      <c r="R65" s="191">
        <f t="shared" si="12"/>
        <v>1.8738140788045909</v>
      </c>
      <c r="S65" s="191">
        <f t="shared" si="12"/>
        <v>1.9543623889985184</v>
      </c>
      <c r="T65" s="191">
        <f t="shared" si="12"/>
        <v>2.027768381107129</v>
      </c>
      <c r="U65" s="191">
        <f t="shared" si="12"/>
        <v>2.0974554103850762</v>
      </c>
      <c r="V65" s="191">
        <f t="shared" si="12"/>
        <v>2.1673943609863033</v>
      </c>
      <c r="W65" s="191">
        <f t="shared" si="12"/>
        <v>2.2390153050330723</v>
      </c>
      <c r="X65" s="191">
        <f t="shared" si="12"/>
        <v>2.3099722086206111</v>
      </c>
      <c r="Y65" s="191">
        <f t="shared" si="12"/>
        <v>2.3852982684824093</v>
      </c>
      <c r="Z65" s="191">
        <f t="shared" si="12"/>
        <v>2.458101629608596</v>
      </c>
      <c r="AA65" s="191">
        <f t="shared" si="12"/>
        <v>2.5311560517725162</v>
      </c>
      <c r="AB65" s="191">
        <f t="shared" si="12"/>
        <v>2.6102643759849866</v>
      </c>
      <c r="AC65" s="191">
        <f t="shared" si="12"/>
        <v>2.693362219717351</v>
      </c>
    </row>
    <row r="66" spans="3:29" ht="15.75" thickBot="1">
      <c r="C66" s="152" t="s">
        <v>54</v>
      </c>
      <c r="D66" s="191">
        <f t="shared" ref="D66:AC66" si="13">-(D54/1000)*$D$30</f>
        <v>1.0004091759327085</v>
      </c>
      <c r="E66" s="191">
        <f t="shared" si="13"/>
        <v>1.0528053433989162</v>
      </c>
      <c r="F66" s="191">
        <f t="shared" si="13"/>
        <v>1.0995397470075443</v>
      </c>
      <c r="G66" s="191">
        <f t="shared" si="13"/>
        <v>1.135703965817451</v>
      </c>
      <c r="H66" s="191">
        <f t="shared" si="13"/>
        <v>1.1654561347602266</v>
      </c>
      <c r="I66" s="191">
        <f t="shared" si="13"/>
        <v>1.1929118418181712</v>
      </c>
      <c r="J66" s="191">
        <f t="shared" si="13"/>
        <v>1.2578724482159529</v>
      </c>
      <c r="K66" s="191">
        <f t="shared" si="13"/>
        <v>1.3361587118885749</v>
      </c>
      <c r="L66" s="191">
        <f t="shared" si="13"/>
        <v>1.410910514413257</v>
      </c>
      <c r="M66" s="191">
        <f t="shared" si="13"/>
        <v>1.4780233109146308</v>
      </c>
      <c r="N66" s="191">
        <f t="shared" si="13"/>
        <v>1.5458769337231562</v>
      </c>
      <c r="O66" s="191">
        <f t="shared" si="13"/>
        <v>1.6286789686257126</v>
      </c>
      <c r="P66" s="191">
        <f t="shared" si="13"/>
        <v>1.7107910792014509</v>
      </c>
      <c r="Q66" s="191">
        <f t="shared" si="13"/>
        <v>1.7931729951175817</v>
      </c>
      <c r="R66" s="191">
        <f t="shared" si="13"/>
        <v>1.8738140788045909</v>
      </c>
      <c r="S66" s="191">
        <f t="shared" si="13"/>
        <v>1.9543623889985184</v>
      </c>
      <c r="T66" s="191">
        <f t="shared" si="13"/>
        <v>2.027768381107129</v>
      </c>
      <c r="U66" s="191">
        <f t="shared" si="13"/>
        <v>2.0974554103850762</v>
      </c>
      <c r="V66" s="191">
        <f t="shared" si="13"/>
        <v>2.1673943609863033</v>
      </c>
      <c r="W66" s="191">
        <f t="shared" si="13"/>
        <v>2.2390153050330723</v>
      </c>
      <c r="X66" s="191">
        <f t="shared" si="13"/>
        <v>2.3099722086206111</v>
      </c>
      <c r="Y66" s="191">
        <f t="shared" si="13"/>
        <v>2.3852982684824093</v>
      </c>
      <c r="Z66" s="191">
        <f t="shared" si="13"/>
        <v>2.458101629608596</v>
      </c>
      <c r="AA66" s="191">
        <f t="shared" si="13"/>
        <v>2.5311560517725162</v>
      </c>
      <c r="AB66" s="191">
        <f t="shared" si="13"/>
        <v>2.6102643759849866</v>
      </c>
      <c r="AC66" s="191">
        <f t="shared" si="13"/>
        <v>2.693362219717351</v>
      </c>
    </row>
    <row r="67" spans="3:29" ht="15.75" thickBot="1"/>
    <row r="68" spans="3:29" ht="15.75" thickBot="1">
      <c r="C68" s="678" t="s">
        <v>84</v>
      </c>
      <c r="D68" s="676"/>
      <c r="E68" s="676" t="s">
        <v>276</v>
      </c>
      <c r="F68" s="676"/>
      <c r="G68" s="677"/>
      <c r="I68" s="617" t="s">
        <v>86</v>
      </c>
      <c r="J68" s="618"/>
      <c r="K68" s="618"/>
      <c r="L68" s="619"/>
      <c r="O68" s="622" t="s">
        <v>87</v>
      </c>
      <c r="P68" s="623"/>
      <c r="Q68" s="623"/>
      <c r="R68" s="624"/>
      <c r="T68" s="391">
        <v>1.06</v>
      </c>
      <c r="U68" s="392" t="s">
        <v>79</v>
      </c>
      <c r="V68" s="393"/>
    </row>
    <row r="69" spans="3:29" ht="15.75" thickBot="1">
      <c r="C69" s="673" t="s">
        <v>276</v>
      </c>
      <c r="D69" s="679">
        <v>0.1</v>
      </c>
      <c r="E69" s="679">
        <v>0.06</v>
      </c>
      <c r="F69" s="679">
        <v>0.03</v>
      </c>
      <c r="G69" s="680">
        <v>0</v>
      </c>
      <c r="I69" s="666">
        <v>0.1</v>
      </c>
      <c r="J69" s="667">
        <v>0.06</v>
      </c>
      <c r="K69" s="667">
        <v>0.03</v>
      </c>
      <c r="L69" s="668">
        <v>0</v>
      </c>
      <c r="N69" s="673" t="s">
        <v>276</v>
      </c>
      <c r="O69" s="681">
        <v>0.1</v>
      </c>
      <c r="P69" s="674">
        <v>0.06</v>
      </c>
      <c r="Q69" s="674">
        <v>0.03</v>
      </c>
      <c r="R69" s="675">
        <v>0</v>
      </c>
      <c r="T69" s="394">
        <v>0.74</v>
      </c>
      <c r="U69" s="390" t="s">
        <v>80</v>
      </c>
      <c r="V69" s="395"/>
    </row>
    <row r="70" spans="3:29" ht="15.75" thickBot="1">
      <c r="C70" s="672" t="s">
        <v>144</v>
      </c>
      <c r="D70" s="345"/>
      <c r="E70" s="345"/>
      <c r="F70" s="345"/>
      <c r="G70" s="345"/>
      <c r="I70" s="682"/>
      <c r="J70" s="679"/>
      <c r="K70" s="679"/>
      <c r="L70" s="680"/>
      <c r="N70" s="620" t="s">
        <v>261</v>
      </c>
      <c r="O70" s="681"/>
      <c r="P70" s="674"/>
      <c r="Q70" s="674"/>
      <c r="R70" s="675"/>
      <c r="T70" s="669"/>
      <c r="U70" s="670"/>
      <c r="V70" s="671"/>
    </row>
    <row r="71" spans="3:29" ht="15.75" thickBot="1">
      <c r="C71" s="274" t="s">
        <v>48</v>
      </c>
      <c r="D71" s="347">
        <f>NPV(10%,E58:N58)+D58</f>
        <v>0.56430020787967317</v>
      </c>
      <c r="E71" s="348">
        <f>NPV(6%,E58:N58)+D58</f>
        <v>0.66597035230266222</v>
      </c>
      <c r="F71" s="348">
        <f>NPV(3%,E58:N58)+D58</f>
        <v>0.76434868846891246</v>
      </c>
      <c r="G71" s="156">
        <f>NPV(0%,E58:N58)+D58</f>
        <v>0.88847517736466231</v>
      </c>
      <c r="I71" s="611">
        <f>NPV(10%,E95:N95)+D95</f>
        <v>1.1041918698428885</v>
      </c>
      <c r="J71" s="612">
        <f>NPV(6%,E95:N95)+D95</f>
        <v>1.3031344633596271</v>
      </c>
      <c r="K71" s="612">
        <f>NPV(3%,E95:N95)+D95</f>
        <v>1.495635826014817</v>
      </c>
      <c r="L71" s="613">
        <f>NPV(0%,E95:N95)+D95</f>
        <v>1.7385197696267181</v>
      </c>
      <c r="N71" s="153" t="s">
        <v>48</v>
      </c>
      <c r="O71" s="621">
        <f>D71+I71</f>
        <v>1.6684920777225618</v>
      </c>
      <c r="P71" s="621">
        <f>E71+J71</f>
        <v>1.9691048156622895</v>
      </c>
      <c r="Q71" s="621">
        <f>F71+K71</f>
        <v>2.2599845144837296</v>
      </c>
      <c r="R71" s="621">
        <f>G71+L71</f>
        <v>2.6269949469913803</v>
      </c>
      <c r="T71" s="634">
        <f>B29</f>
        <v>1.5</v>
      </c>
      <c r="U71" s="396" t="s">
        <v>81</v>
      </c>
      <c r="V71" s="397"/>
    </row>
    <row r="72" spans="3:29">
      <c r="C72" s="275" t="s">
        <v>53</v>
      </c>
      <c r="D72" s="349">
        <f>NPV(10%,E59:N59)+D59</f>
        <v>1.8442281604304502</v>
      </c>
      <c r="E72" s="346">
        <f>NPV(6%,E59:N59)+D59</f>
        <v>2.1727863489476933</v>
      </c>
      <c r="F72" s="346">
        <f>NPV(3%,E59:N59)+D59</f>
        <v>2.4903892228995361</v>
      </c>
      <c r="G72" s="157">
        <f>NPV(0%,E59:N59)+D59</f>
        <v>2.8907714051392128</v>
      </c>
      <c r="I72" s="291">
        <f>NPV(10%,E96:N96)+D96</f>
        <v>3.6086850801175521</v>
      </c>
      <c r="J72" s="287">
        <f>NPV(6%,E96:N96)+D96</f>
        <v>4.2515898238429077</v>
      </c>
      <c r="K72" s="287">
        <f>NPV(3%,E96:N96)+D96</f>
        <v>4.8730578055296006</v>
      </c>
      <c r="L72" s="292">
        <f>NPV(0%,E96:N96)+D96</f>
        <v>5.6565038228900519</v>
      </c>
      <c r="N72" s="154" t="s">
        <v>53</v>
      </c>
      <c r="O72" s="161">
        <f>I72+D72</f>
        <v>5.4529132405480025</v>
      </c>
      <c r="P72" s="161">
        <f t="shared" ref="P72:R74" si="14">E72+J72</f>
        <v>6.424376172790601</v>
      </c>
      <c r="Q72" s="161">
        <f t="shared" si="14"/>
        <v>7.3634470284291371</v>
      </c>
      <c r="R72" s="161">
        <f t="shared" si="14"/>
        <v>8.5472752280292639</v>
      </c>
    </row>
    <row r="73" spans="3:29">
      <c r="C73" s="444" t="s">
        <v>160</v>
      </c>
      <c r="D73" s="349">
        <f>NPV(10%,E60:N60)+D60</f>
        <v>2.6711736051048964</v>
      </c>
      <c r="E73" s="346">
        <f>NPV(6%,E60:N60)+D60</f>
        <v>3.1957824895207345</v>
      </c>
      <c r="F73" s="346">
        <f>NPV(3%,E60:N60)+D60</f>
        <v>3.7066708796205008</v>
      </c>
      <c r="G73" s="157">
        <f>NPV(0%,E60:N60)+D60</f>
        <v>4.3547849796095672</v>
      </c>
      <c r="I73" s="291">
        <f>NPV(10%,E97:N97)+D97</f>
        <v>5.226806824647972</v>
      </c>
      <c r="J73" s="287">
        <f>NPV(6%,E97:N97)+D97</f>
        <v>6.2533328775017996</v>
      </c>
      <c r="K73" s="287">
        <f>NPV(3%,E97:N97)+D97</f>
        <v>7.2530114153937673</v>
      </c>
      <c r="L73" s="292">
        <f>NPV(0%,E97:N97)+D97</f>
        <v>8.5212057381062376</v>
      </c>
      <c r="N73" s="154" t="s">
        <v>160</v>
      </c>
      <c r="O73" s="161">
        <f>I73+D73</f>
        <v>7.8979804297528684</v>
      </c>
      <c r="P73" s="161">
        <f t="shared" si="14"/>
        <v>9.4491153670225341</v>
      </c>
      <c r="Q73" s="161">
        <f t="shared" si="14"/>
        <v>10.959682295014268</v>
      </c>
      <c r="R73" s="161">
        <f t="shared" si="14"/>
        <v>12.875990717715805</v>
      </c>
    </row>
    <row r="74" spans="3:29" ht="15.75" thickBot="1">
      <c r="C74" s="276" t="s">
        <v>54</v>
      </c>
      <c r="D74" s="350">
        <f>NPV(10%,E61:N61)+D61</f>
        <v>2.8364356908875039</v>
      </c>
      <c r="E74" s="351">
        <f>NPV(6%,E61:N61)+D61</f>
        <v>3.3702984059804693</v>
      </c>
      <c r="F74" s="351">
        <f>NPV(3%,E61:N61)+D61</f>
        <v>3.8890406639429238</v>
      </c>
      <c r="G74" s="158">
        <f>NPV(0%,E61:N61)+D61</f>
        <v>4.5459311449481739</v>
      </c>
      <c r="I74" s="293">
        <f>NPV(10%,E98:N98)+D98</f>
        <v>5.5501826607124247</v>
      </c>
      <c r="J74" s="294">
        <f>NPV(6%,E98:N98)+D98</f>
        <v>6.5948161047312848</v>
      </c>
      <c r="K74" s="294">
        <f>NPV(3%,E98:N98)+D98</f>
        <v>7.6098626629069681</v>
      </c>
      <c r="L74" s="295">
        <f t="shared" ref="L74" si="15">NPV(0%,E98:N98)+D98</f>
        <v>8.8952301293280431</v>
      </c>
      <c r="N74" s="155" t="s">
        <v>54</v>
      </c>
      <c r="O74" s="162">
        <f>I74+D74</f>
        <v>8.3866183515999282</v>
      </c>
      <c r="P74" s="162">
        <f t="shared" si="14"/>
        <v>9.9651145107117536</v>
      </c>
      <c r="Q74" s="162">
        <f t="shared" si="14"/>
        <v>11.498903326849891</v>
      </c>
      <c r="R74" s="162">
        <f t="shared" si="14"/>
        <v>13.441161274276217</v>
      </c>
    </row>
    <row r="75" spans="3:29" ht="15.75" thickBot="1">
      <c r="C75" s="344" t="s">
        <v>143</v>
      </c>
      <c r="N75" s="620" t="s">
        <v>262</v>
      </c>
    </row>
    <row r="76" spans="3:29">
      <c r="C76" s="274" t="s">
        <v>48</v>
      </c>
      <c r="D76" s="347">
        <f>NPV(10%,E63:N63)+D63</f>
        <v>1.6976021240528627</v>
      </c>
      <c r="E76" s="348">
        <f>NPV(6%,E63:N63)+D63</f>
        <v>2.0034596281174903</v>
      </c>
      <c r="F76" s="348">
        <f>NPV(3%,E63:N63)+D63</f>
        <v>2.2994142815175547</v>
      </c>
      <c r="G76" s="156">
        <f>NPV(0%,E63:N63)+D63</f>
        <v>2.6728279153569043</v>
      </c>
      <c r="I76" s="288">
        <f t="shared" ref="I76:L78" si="16">I71</f>
        <v>1.1041918698428885</v>
      </c>
      <c r="J76" s="289">
        <f t="shared" si="16"/>
        <v>1.3031344633596271</v>
      </c>
      <c r="K76" s="289">
        <f t="shared" si="16"/>
        <v>1.495635826014817</v>
      </c>
      <c r="L76" s="290">
        <f t="shared" si="16"/>
        <v>1.7385197696267181</v>
      </c>
      <c r="N76" s="153" t="s">
        <v>48</v>
      </c>
      <c r="O76" s="160">
        <f t="shared" ref="O76:R79" si="17">D76+I76</f>
        <v>2.8017939938957515</v>
      </c>
      <c r="P76" s="160">
        <f t="shared" si="17"/>
        <v>3.3065940914771175</v>
      </c>
      <c r="Q76" s="160">
        <f t="shared" si="17"/>
        <v>3.7950501075323717</v>
      </c>
      <c r="R76" s="160">
        <f t="shared" si="17"/>
        <v>4.4113476849836228</v>
      </c>
    </row>
    <row r="77" spans="3:29">
      <c r="C77" s="275" t="s">
        <v>53</v>
      </c>
      <c r="D77" s="349">
        <f>NPV(10%,E64:N64)+D64</f>
        <v>5.5480497768174031</v>
      </c>
      <c r="E77" s="346">
        <f>NPV(6%,E64:N64)+D64</f>
        <v>6.5364617442657025</v>
      </c>
      <c r="F77" s="346">
        <f>NPV(3%,E64:N64)+D64</f>
        <v>7.4919164931693398</v>
      </c>
      <c r="G77" s="157">
        <f>NPV(0%,E64:N64)+D64</f>
        <v>8.6963988476183847</v>
      </c>
      <c r="I77" s="291">
        <f t="shared" si="16"/>
        <v>3.6086850801175521</v>
      </c>
      <c r="J77" s="287">
        <f t="shared" si="16"/>
        <v>4.2515898238429077</v>
      </c>
      <c r="K77" s="287">
        <f t="shared" si="16"/>
        <v>4.8730578055296006</v>
      </c>
      <c r="L77" s="292">
        <f t="shared" si="16"/>
        <v>5.6565038228900519</v>
      </c>
      <c r="N77" s="154" t="s">
        <v>53</v>
      </c>
      <c r="O77" s="161">
        <f t="shared" si="17"/>
        <v>9.1567348569349551</v>
      </c>
      <c r="P77" s="161">
        <f t="shared" si="17"/>
        <v>10.78805156810861</v>
      </c>
      <c r="Q77" s="161">
        <f t="shared" si="17"/>
        <v>12.364974298698939</v>
      </c>
      <c r="R77" s="161">
        <f t="shared" si="17"/>
        <v>14.352902670508437</v>
      </c>
    </row>
    <row r="78" spans="3:29">
      <c r="C78" s="444" t="s">
        <v>160</v>
      </c>
      <c r="D78" s="349">
        <f>NPV(10%,E65:N65)+D65</f>
        <v>8.0357758555122363</v>
      </c>
      <c r="E78" s="346">
        <f>NPV(6%,E65:N65)+D65</f>
        <v>9.6139733185747147</v>
      </c>
      <c r="F78" s="346">
        <f>NPV(3%,E65:N65)+D65</f>
        <v>11.150894985582578</v>
      </c>
      <c r="G78" s="157">
        <f>NPV(0%,E65:N65)+D65</f>
        <v>13.100637086341568</v>
      </c>
      <c r="I78" s="291">
        <f t="shared" si="16"/>
        <v>5.226806824647972</v>
      </c>
      <c r="J78" s="287">
        <f t="shared" si="16"/>
        <v>6.2533328775017996</v>
      </c>
      <c r="K78" s="287">
        <f t="shared" si="16"/>
        <v>7.2530114153937673</v>
      </c>
      <c r="L78" s="292">
        <f t="shared" si="16"/>
        <v>8.5212057381062376</v>
      </c>
      <c r="N78" s="154" t="s">
        <v>160</v>
      </c>
      <c r="O78" s="161">
        <f t="shared" ref="O78" si="18">D78+I78</f>
        <v>13.262582680160207</v>
      </c>
      <c r="P78" s="161">
        <f t="shared" ref="P78" si="19">E78+J78</f>
        <v>15.867306196076514</v>
      </c>
      <c r="Q78" s="161">
        <f t="shared" ref="Q78" si="20">F78+K78</f>
        <v>18.403906400976346</v>
      </c>
      <c r="R78" s="161">
        <f t="shared" ref="R78" si="21">G78+L78</f>
        <v>21.621842824447803</v>
      </c>
    </row>
    <row r="79" spans="3:29" ht="15.75" thickBot="1">
      <c r="C79" s="276" t="s">
        <v>54</v>
      </c>
      <c r="D79" s="350">
        <f>NPV(10%,E66:N66)+D66</f>
        <v>8.5329390036601165</v>
      </c>
      <c r="E79" s="351">
        <f>NPV(6%,E66:N66)+D66</f>
        <v>10.138975057589223</v>
      </c>
      <c r="F79" s="351">
        <f>NPV(3%,E66:N66)+D66</f>
        <v>11.699523763147766</v>
      </c>
      <c r="G79" s="158">
        <f>NPV(0%,E66:N66)+D66</f>
        <v>13.675668127890589</v>
      </c>
      <c r="I79" s="293">
        <f>I74</f>
        <v>5.5501826607124247</v>
      </c>
      <c r="J79" s="294">
        <f t="shared" ref="J79:L79" si="22">J74</f>
        <v>6.5948161047312848</v>
      </c>
      <c r="K79" s="294">
        <f t="shared" si="22"/>
        <v>7.6098626629069681</v>
      </c>
      <c r="L79" s="295">
        <f t="shared" si="22"/>
        <v>8.8952301293280431</v>
      </c>
      <c r="N79" s="155" t="s">
        <v>54</v>
      </c>
      <c r="O79" s="162">
        <f t="shared" si="17"/>
        <v>14.083121664372541</v>
      </c>
      <c r="P79" s="162">
        <f t="shared" si="17"/>
        <v>16.733791162320507</v>
      </c>
      <c r="Q79" s="162">
        <f t="shared" si="17"/>
        <v>19.309386426054736</v>
      </c>
      <c r="R79" s="162">
        <f t="shared" si="17"/>
        <v>22.57089825721863</v>
      </c>
    </row>
    <row r="80" spans="3:29" ht="15.75" thickBot="1"/>
    <row r="81" spans="3:29" ht="15.75" thickBot="1">
      <c r="C81" s="159" t="s">
        <v>95</v>
      </c>
      <c r="D81" s="342"/>
      <c r="E81" s="342"/>
      <c r="F81" s="342"/>
      <c r="G81" s="343"/>
      <c r="I81" s="617" t="s">
        <v>96</v>
      </c>
      <c r="J81" s="618"/>
      <c r="K81" s="618"/>
      <c r="L81" s="619"/>
      <c r="O81" s="622" t="s">
        <v>97</v>
      </c>
      <c r="P81" s="623"/>
      <c r="Q81" s="623"/>
      <c r="R81" s="624"/>
      <c r="T81" s="391">
        <v>1.06</v>
      </c>
      <c r="U81" s="392" t="s">
        <v>79</v>
      </c>
      <c r="V81" s="393"/>
    </row>
    <row r="82" spans="3:29" ht="15.75" thickBot="1">
      <c r="C82" s="344" t="s">
        <v>144</v>
      </c>
      <c r="D82" s="345">
        <v>0.1</v>
      </c>
      <c r="E82" s="345">
        <v>0.06</v>
      </c>
      <c r="F82" s="345">
        <v>0.03</v>
      </c>
      <c r="G82" s="345">
        <v>0</v>
      </c>
      <c r="I82" s="614">
        <v>0.1</v>
      </c>
      <c r="J82" s="615">
        <v>0.06</v>
      </c>
      <c r="K82" s="615">
        <v>0.03</v>
      </c>
      <c r="L82" s="616">
        <v>0</v>
      </c>
      <c r="N82" s="620" t="s">
        <v>261</v>
      </c>
      <c r="O82" s="625">
        <v>0.1</v>
      </c>
      <c r="P82" s="626">
        <v>0.06</v>
      </c>
      <c r="Q82" s="626">
        <v>0.03</v>
      </c>
      <c r="R82" s="627">
        <v>0</v>
      </c>
      <c r="T82" s="394">
        <v>0.74</v>
      </c>
      <c r="U82" s="390" t="s">
        <v>80</v>
      </c>
      <c r="V82" s="395"/>
    </row>
    <row r="83" spans="3:29" ht="15.75" thickBot="1">
      <c r="C83" s="274" t="s">
        <v>48</v>
      </c>
      <c r="D83" s="347">
        <f>NPV(10%,E58:S58)+D58</f>
        <v>0.71035565372666076</v>
      </c>
      <c r="E83" s="348">
        <f>NPV(6%,E58:S58)+D58</f>
        <v>0.90159539455399618</v>
      </c>
      <c r="F83" s="348">
        <f>NPV(3%,E58:S58)+D58</f>
        <v>1.1063502610245832</v>
      </c>
      <c r="G83" s="156">
        <f>NPV(0%,E58:S58)+D58</f>
        <v>1.3912410534848629</v>
      </c>
      <c r="I83" s="611">
        <f>NPV(10%,E95:S95)+D95</f>
        <v>1.3899852004115538</v>
      </c>
      <c r="J83" s="612">
        <f>NPV(6%,E95:S95)+D95</f>
        <v>1.764192695046098</v>
      </c>
      <c r="K83" s="612">
        <f>NPV(3%,E95:S95)+D95</f>
        <v>2.1648458504243386</v>
      </c>
      <c r="L83" s="613">
        <f>NPV(0%,E95:S95)+D95</f>
        <v>2.7223046151654207</v>
      </c>
      <c r="N83" s="153" t="s">
        <v>48</v>
      </c>
      <c r="O83" s="621">
        <f>D83+I83</f>
        <v>2.1003408541382145</v>
      </c>
      <c r="P83" s="621">
        <f>E83+J83</f>
        <v>2.6657880896000941</v>
      </c>
      <c r="Q83" s="621">
        <f>F83+K83</f>
        <v>3.2711961114489219</v>
      </c>
      <c r="R83" s="621">
        <f>G83+L83</f>
        <v>4.1135456686502838</v>
      </c>
      <c r="T83" s="634">
        <f>B29</f>
        <v>1.5</v>
      </c>
      <c r="U83" s="396" t="s">
        <v>81</v>
      </c>
      <c r="V83" s="397"/>
    </row>
    <row r="84" spans="3:29">
      <c r="C84" s="275" t="s">
        <v>53</v>
      </c>
      <c r="D84" s="349">
        <f>NPV(10%,E59:S59)+D59</f>
        <v>2.2984251133867515</v>
      </c>
      <c r="E84" s="346">
        <f>NPV(6%,E59:S59)+D59</f>
        <v>2.9051322234404471</v>
      </c>
      <c r="F84" s="346">
        <f>NPV(3%,E59:S59)+D59</f>
        <v>3.5529232947744673</v>
      </c>
      <c r="G84" s="157">
        <f>NPV(0%,E59:S59)+D59</f>
        <v>4.4521032745884295</v>
      </c>
      <c r="I84" s="291">
        <f>NPV(10%,E96:S96)+D96</f>
        <v>4.4974329057584406</v>
      </c>
      <c r="J84" s="287">
        <f>NPV(6%,E96:S96)+D96</f>
        <v>5.6846042889028059</v>
      </c>
      <c r="K84" s="287">
        <f>NPV(3%,E96:S96)+D96</f>
        <v>6.9521665267610677</v>
      </c>
      <c r="L84" s="292">
        <f>NPV(0%,E96:S96)+D96</f>
        <v>8.7116328699805994</v>
      </c>
      <c r="N84" s="154" t="s">
        <v>53</v>
      </c>
      <c r="O84" s="161">
        <f>I84+D84</f>
        <v>6.7958580191451921</v>
      </c>
      <c r="P84" s="161">
        <f t="shared" ref="P84:R86" si="23">E84+J84</f>
        <v>8.5897365123432525</v>
      </c>
      <c r="Q84" s="161">
        <f t="shared" si="23"/>
        <v>10.505089821535535</v>
      </c>
      <c r="R84" s="161">
        <f t="shared" si="23"/>
        <v>13.163736144569029</v>
      </c>
    </row>
    <row r="85" spans="3:29">
      <c r="C85" s="444" t="s">
        <v>160</v>
      </c>
      <c r="D85" s="349">
        <f>NPV(10%,E60:S60)+D60</f>
        <v>3.5343310480244869</v>
      </c>
      <c r="E85" s="346">
        <f>NPV(6%,E60:S60)+D60</f>
        <v>4.5896331419870195</v>
      </c>
      <c r="F85" s="346">
        <f>NPV(3%,E60:S60)+D60</f>
        <v>5.7313190667285143</v>
      </c>
      <c r="G85" s="157">
        <f>NPV(0%,E60:S60)+D60</f>
        <v>7.3334525018998411</v>
      </c>
      <c r="I85" s="291">
        <f>NPV(10%,E97:S97)+D97</f>
        <v>6.9157862323419312</v>
      </c>
      <c r="J85" s="287">
        <f>NPV(6%,E97:S97)+D97</f>
        <v>8.9807438136265265</v>
      </c>
      <c r="K85" s="287">
        <f>NPV(3%,E97:S97)+D97</f>
        <v>11.214732563604853</v>
      </c>
      <c r="L85" s="292">
        <f>NPV(0%,E97:S97)+D97</f>
        <v>14.349699889182832</v>
      </c>
      <c r="N85" s="154" t="s">
        <v>160</v>
      </c>
      <c r="O85" s="161">
        <f>I85+D85</f>
        <v>10.450117280366419</v>
      </c>
      <c r="P85" s="161">
        <f t="shared" si="23"/>
        <v>13.570376955613547</v>
      </c>
      <c r="Q85" s="161">
        <f t="shared" si="23"/>
        <v>16.946051630333368</v>
      </c>
      <c r="R85" s="161">
        <f t="shared" si="23"/>
        <v>21.683152391082672</v>
      </c>
    </row>
    <row r="86" spans="3:29" ht="15.75" thickBot="1">
      <c r="C86" s="276" t="s">
        <v>54</v>
      </c>
      <c r="D86" s="350">
        <f>NPV(10%,E61:S61)+D61</f>
        <v>3.6995931338070944</v>
      </c>
      <c r="E86" s="351">
        <f>NPV(6%,E61:S61)+D61</f>
        <v>4.7641490584467538</v>
      </c>
      <c r="F86" s="351">
        <f>NPV(3%,E61:S61)+D61</f>
        <v>5.9136888510509378</v>
      </c>
      <c r="G86" s="158">
        <f t="shared" ref="G86" si="24">NPV(0%,E61:S61)+D61</f>
        <v>7.5245986672384486</v>
      </c>
      <c r="I86" s="293">
        <f>NPV(10%,E98:S98)+D98</f>
        <v>7.2391620684063849</v>
      </c>
      <c r="J86" s="294">
        <f>NPV(6%,E98:S98)+D98</f>
        <v>9.3222270408560135</v>
      </c>
      <c r="K86" s="294">
        <f>NPV(3%,E98:S98)+D98</f>
        <v>11.571583811118057</v>
      </c>
      <c r="L86" s="295">
        <f t="shared" ref="L86" si="25">NPV(0%,E98:S98)+D98</f>
        <v>14.723724280404639</v>
      </c>
      <c r="N86" s="155" t="s">
        <v>54</v>
      </c>
      <c r="O86" s="162">
        <f>I86+D86</f>
        <v>10.938755202213478</v>
      </c>
      <c r="P86" s="162">
        <f t="shared" si="23"/>
        <v>14.086376099302768</v>
      </c>
      <c r="Q86" s="162">
        <f t="shared" si="23"/>
        <v>17.485272662168995</v>
      </c>
      <c r="R86" s="162">
        <f t="shared" si="23"/>
        <v>22.248322947643089</v>
      </c>
    </row>
    <row r="87" spans="3:29" ht="15.75" thickBot="1">
      <c r="C87" s="344" t="s">
        <v>143</v>
      </c>
      <c r="N87" s="620" t="s">
        <v>262</v>
      </c>
    </row>
    <row r="88" spans="3:29">
      <c r="C88" s="274" t="s">
        <v>48</v>
      </c>
      <c r="D88" s="347">
        <f>NPV(10%,E63:S63)+D63</f>
        <v>2.1369853311421707</v>
      </c>
      <c r="E88" s="348">
        <f>NPV(6%,E63:S63)+D63</f>
        <v>2.7122978787870737</v>
      </c>
      <c r="F88" s="348">
        <f>NPV(3%,E63:S63)+D63</f>
        <v>3.3282684054269414</v>
      </c>
      <c r="G88" s="156">
        <f>NPV(0%,E63:S63)+D63</f>
        <v>4.1853143672225102</v>
      </c>
      <c r="I88" s="288">
        <f t="shared" ref="I88:L90" si="26">I83</f>
        <v>1.3899852004115538</v>
      </c>
      <c r="J88" s="289">
        <f t="shared" si="26"/>
        <v>1.764192695046098</v>
      </c>
      <c r="K88" s="289">
        <f t="shared" si="26"/>
        <v>2.1648458504243386</v>
      </c>
      <c r="L88" s="290">
        <f t="shared" si="26"/>
        <v>2.7223046151654207</v>
      </c>
      <c r="N88" s="153" t="s">
        <v>48</v>
      </c>
      <c r="O88" s="160">
        <f t="shared" ref="O88:R91" si="27">D88+I88</f>
        <v>3.5269705315537245</v>
      </c>
      <c r="P88" s="160">
        <f t="shared" si="27"/>
        <v>4.4764905738331713</v>
      </c>
      <c r="Q88" s="160">
        <f t="shared" si="27"/>
        <v>5.49311425585128</v>
      </c>
      <c r="R88" s="160">
        <f t="shared" si="27"/>
        <v>6.9076189823879304</v>
      </c>
    </row>
    <row r="89" spans="3:29">
      <c r="C89" s="275" t="s">
        <v>53</v>
      </c>
      <c r="D89" s="349">
        <f>NPV(10%,E64:S64)+D64</f>
        <v>6.9144248043477257</v>
      </c>
      <c r="E89" s="346">
        <f>NPV(6%,E64:S64)+D64</f>
        <v>8.7396009505254799</v>
      </c>
      <c r="F89" s="346">
        <f>NPV(3%,E64:S64)+D64</f>
        <v>10.688371273987068</v>
      </c>
      <c r="G89" s="157">
        <f>NPV(0%,E64:S64)+D64</f>
        <v>13.393402784383888</v>
      </c>
      <c r="I89" s="291">
        <f t="shared" si="26"/>
        <v>4.4974329057584406</v>
      </c>
      <c r="J89" s="287">
        <f t="shared" si="26"/>
        <v>5.6846042889028059</v>
      </c>
      <c r="K89" s="287">
        <f t="shared" si="26"/>
        <v>6.9521665267610677</v>
      </c>
      <c r="L89" s="292">
        <f t="shared" si="26"/>
        <v>8.7116328699805994</v>
      </c>
      <c r="N89" s="154" t="s">
        <v>53</v>
      </c>
      <c r="O89" s="161">
        <f t="shared" si="27"/>
        <v>11.411857710106165</v>
      </c>
      <c r="P89" s="161">
        <f t="shared" si="27"/>
        <v>14.424205239428286</v>
      </c>
      <c r="Q89" s="161">
        <f t="shared" si="27"/>
        <v>17.640537800748135</v>
      </c>
      <c r="R89" s="161">
        <f t="shared" si="27"/>
        <v>22.105035654364485</v>
      </c>
    </row>
    <row r="90" spans="3:29">
      <c r="C90" s="444" t="s">
        <v>160</v>
      </c>
      <c r="D90" s="349">
        <f>NPV(10%,E65:S65)+D65</f>
        <v>10.632439631338421</v>
      </c>
      <c r="E90" s="346">
        <f>NPV(6%,E65:S65)+D65</f>
        <v>13.807138224769087</v>
      </c>
      <c r="F90" s="346">
        <f>NPV(3%,E65:S65)+D65</f>
        <v>17.241708022509954</v>
      </c>
      <c r="G90" s="157">
        <f>NPV(0%,E65:S65)+D65</f>
        <v>22.061456597089425</v>
      </c>
      <c r="I90" s="291">
        <f t="shared" si="26"/>
        <v>6.9157862323419312</v>
      </c>
      <c r="J90" s="287">
        <f t="shared" si="26"/>
        <v>8.9807438136265265</v>
      </c>
      <c r="K90" s="287">
        <f t="shared" si="26"/>
        <v>11.214732563604853</v>
      </c>
      <c r="L90" s="292">
        <f t="shared" si="26"/>
        <v>14.349699889182832</v>
      </c>
      <c r="N90" s="154" t="s">
        <v>160</v>
      </c>
      <c r="O90" s="161">
        <f t="shared" si="27"/>
        <v>17.548225863680351</v>
      </c>
      <c r="P90" s="161">
        <f t="shared" si="27"/>
        <v>22.787882038395615</v>
      </c>
      <c r="Q90" s="161">
        <f t="shared" si="27"/>
        <v>28.456440586114809</v>
      </c>
      <c r="R90" s="161">
        <f t="shared" si="27"/>
        <v>36.411156486272255</v>
      </c>
    </row>
    <row r="91" spans="3:29" ht="15.75" thickBot="1">
      <c r="C91" s="276" t="s">
        <v>54</v>
      </c>
      <c r="D91" s="350">
        <f t="shared" ref="D91" si="28">NPV(10%,E66:S66)+D66</f>
        <v>11.129602779486302</v>
      </c>
      <c r="E91" s="351">
        <f t="shared" ref="E91" si="29">NPV(6%,E66:S66)+D66</f>
        <v>14.332139963783595</v>
      </c>
      <c r="F91" s="351">
        <f>NPV(3%,E66:S66)+D66</f>
        <v>17.790336800075146</v>
      </c>
      <c r="G91" s="158">
        <f t="shared" ref="G91" si="30">NPV(0%,E66:S66)+D66</f>
        <v>22.636487638638446</v>
      </c>
      <c r="I91" s="293">
        <f>I86</f>
        <v>7.2391620684063849</v>
      </c>
      <c r="J91" s="294">
        <f t="shared" ref="J91:L91" si="31">J86</f>
        <v>9.3222270408560135</v>
      </c>
      <c r="K91" s="294">
        <f t="shared" si="31"/>
        <v>11.571583811118057</v>
      </c>
      <c r="L91" s="295">
        <f t="shared" si="31"/>
        <v>14.723724280404639</v>
      </c>
      <c r="N91" s="155" t="s">
        <v>54</v>
      </c>
      <c r="O91" s="162">
        <f t="shared" si="27"/>
        <v>18.368764847892685</v>
      </c>
      <c r="P91" s="162">
        <f t="shared" si="27"/>
        <v>23.65436700463961</v>
      </c>
      <c r="Q91" s="162">
        <f t="shared" si="27"/>
        <v>29.361920611193202</v>
      </c>
      <c r="R91" s="162">
        <f t="shared" si="27"/>
        <v>37.360211919043081</v>
      </c>
    </row>
    <row r="92" spans="3:29" ht="15.75" thickBot="1"/>
    <row r="93" spans="3:29" ht="15.75" thickBot="1">
      <c r="C93" s="236" t="s">
        <v>85</v>
      </c>
    </row>
    <row r="94" spans="3:29" ht="15.75" thickBot="1">
      <c r="C94" s="260"/>
      <c r="D94" s="360">
        <v>2015</v>
      </c>
      <c r="E94" s="361">
        <v>2016</v>
      </c>
      <c r="F94" s="361">
        <v>2017</v>
      </c>
      <c r="G94" s="361">
        <v>2018</v>
      </c>
      <c r="H94" s="361">
        <v>2019</v>
      </c>
      <c r="I94" s="361">
        <v>2020</v>
      </c>
      <c r="J94" s="361">
        <v>2021</v>
      </c>
      <c r="K94" s="361">
        <v>2022</v>
      </c>
      <c r="L94" s="361">
        <v>2023</v>
      </c>
      <c r="M94" s="361">
        <v>2024</v>
      </c>
      <c r="N94" s="361">
        <v>2025</v>
      </c>
      <c r="O94" s="361">
        <v>2026</v>
      </c>
      <c r="P94" s="361">
        <v>2027</v>
      </c>
      <c r="Q94" s="361">
        <v>2028</v>
      </c>
      <c r="R94" s="361">
        <v>2029</v>
      </c>
      <c r="S94" s="362">
        <v>2030</v>
      </c>
      <c r="T94" s="361">
        <v>2031</v>
      </c>
      <c r="U94" s="362">
        <v>2032</v>
      </c>
      <c r="V94" s="361">
        <v>2033</v>
      </c>
      <c r="W94" s="362">
        <v>2034</v>
      </c>
      <c r="X94" s="361">
        <v>2035</v>
      </c>
      <c r="Y94" s="362">
        <v>2036</v>
      </c>
      <c r="Z94" s="361">
        <v>2037</v>
      </c>
      <c r="AA94" s="362">
        <v>2038</v>
      </c>
      <c r="AB94" s="361">
        <v>2039</v>
      </c>
      <c r="AC94" s="362">
        <v>2040</v>
      </c>
    </row>
    <row r="95" spans="3:29">
      <c r="C95" s="257" t="s">
        <v>48</v>
      </c>
      <c r="D95" s="357">
        <f t="shared" ref="D95:AC95" si="32">-(D51*1.06/0.74)*$T$71</f>
        <v>0.1407742664827768</v>
      </c>
      <c r="E95" s="358">
        <f t="shared" si="32"/>
        <v>0.14345839166045515</v>
      </c>
      <c r="F95" s="358">
        <f t="shared" si="32"/>
        <v>0.14674264319046026</v>
      </c>
      <c r="G95" s="358">
        <f t="shared" si="32"/>
        <v>0.15018490322367631</v>
      </c>
      <c r="H95" s="358">
        <f t="shared" si="32"/>
        <v>0.15325409364303072</v>
      </c>
      <c r="I95" s="358">
        <f t="shared" si="32"/>
        <v>0.15664859564650138</v>
      </c>
      <c r="J95" s="358">
        <f t="shared" si="32"/>
        <v>0.16056866956141935</v>
      </c>
      <c r="K95" s="358">
        <f t="shared" si="32"/>
        <v>0.16508827571044424</v>
      </c>
      <c r="L95" s="358">
        <f t="shared" si="32"/>
        <v>0.16957850161413848</v>
      </c>
      <c r="M95" s="358">
        <f t="shared" si="32"/>
        <v>0.17350379220456777</v>
      </c>
      <c r="N95" s="358">
        <f t="shared" si="32"/>
        <v>0.17871763668924773</v>
      </c>
      <c r="O95" s="358">
        <f t="shared" si="32"/>
        <v>0.18431554257923444</v>
      </c>
      <c r="P95" s="358">
        <f t="shared" si="32"/>
        <v>0.18993539912208818</v>
      </c>
      <c r="Q95" s="358">
        <f t="shared" si="32"/>
        <v>0.19685957670955956</v>
      </c>
      <c r="R95" s="358">
        <f t="shared" si="32"/>
        <v>0.20294849881017074</v>
      </c>
      <c r="S95" s="359">
        <f t="shared" si="32"/>
        <v>0.20972582831764994</v>
      </c>
      <c r="T95" s="359">
        <f t="shared" si="32"/>
        <v>0.21463847858793886</v>
      </c>
      <c r="U95" s="359">
        <f t="shared" si="32"/>
        <v>0.22040161844199488</v>
      </c>
      <c r="V95" s="359">
        <f t="shared" si="32"/>
        <v>0.22628556367490354</v>
      </c>
      <c r="W95" s="359">
        <f t="shared" si="32"/>
        <v>0.23195672331533895</v>
      </c>
      <c r="X95" s="359">
        <f t="shared" si="32"/>
        <v>0.23785818725693281</v>
      </c>
      <c r="Y95" s="359">
        <f t="shared" si="32"/>
        <v>0.24389302024055129</v>
      </c>
      <c r="Z95" s="359">
        <f t="shared" si="32"/>
        <v>0.24945797638662925</v>
      </c>
      <c r="AA95" s="359">
        <f t="shared" si="32"/>
        <v>0.25539240542651653</v>
      </c>
      <c r="AB95" s="359">
        <f t="shared" si="32"/>
        <v>0.26131139608637555</v>
      </c>
      <c r="AC95" s="359">
        <f t="shared" si="32"/>
        <v>0.26800332295798196</v>
      </c>
    </row>
    <row r="96" spans="3:29">
      <c r="C96" s="257" t="s">
        <v>53</v>
      </c>
      <c r="D96" s="352">
        <f t="shared" ref="D96:AC96" si="33">-(D52*1.06/0.74)*$T$71</f>
        <v>0.46867553942965912</v>
      </c>
      <c r="E96" s="190">
        <f t="shared" si="33"/>
        <v>0.4766960954587583</v>
      </c>
      <c r="F96" s="190">
        <f t="shared" si="33"/>
        <v>0.48483824851871393</v>
      </c>
      <c r="G96" s="190">
        <f t="shared" si="33"/>
        <v>0.4935171477369571</v>
      </c>
      <c r="H96" s="190">
        <f t="shared" si="33"/>
        <v>0.50202708154876852</v>
      </c>
      <c r="I96" s="190">
        <f t="shared" si="33"/>
        <v>0.50922958752149095</v>
      </c>
      <c r="J96" s="190">
        <f t="shared" si="33"/>
        <v>0.52131126161588748</v>
      </c>
      <c r="K96" s="190">
        <f t="shared" si="33"/>
        <v>0.53308225723203317</v>
      </c>
      <c r="L96" s="190">
        <f t="shared" si="33"/>
        <v>0.54479712036584593</v>
      </c>
      <c r="M96" s="190">
        <f t="shared" si="33"/>
        <v>0.55523220855523703</v>
      </c>
      <c r="N96" s="190">
        <f t="shared" si="33"/>
        <v>0.56709727490670003</v>
      </c>
      <c r="O96" s="190">
        <f t="shared" si="33"/>
        <v>0.58073667990951128</v>
      </c>
      <c r="P96" s="190">
        <f t="shared" si="33"/>
        <v>0.59513507035982283</v>
      </c>
      <c r="Q96" s="190">
        <f t="shared" si="33"/>
        <v>0.61073185283515941</v>
      </c>
      <c r="R96" s="190">
        <f t="shared" si="33"/>
        <v>0.62627890109507334</v>
      </c>
      <c r="S96" s="353">
        <f t="shared" si="33"/>
        <v>0.64224654289098004</v>
      </c>
      <c r="T96" s="353">
        <f t="shared" si="33"/>
        <v>0.65606705678084287</v>
      </c>
      <c r="U96" s="353">
        <f t="shared" si="33"/>
        <v>0.67013405890187272</v>
      </c>
      <c r="V96" s="353">
        <f t="shared" si="33"/>
        <v>0.68433459446345091</v>
      </c>
      <c r="W96" s="353">
        <f t="shared" si="33"/>
        <v>0.6991589356101533</v>
      </c>
      <c r="X96" s="353">
        <f t="shared" si="33"/>
        <v>0.71362715269328736</v>
      </c>
      <c r="Y96" s="353">
        <f t="shared" si="33"/>
        <v>0.72920803835869141</v>
      </c>
      <c r="Z96" s="353">
        <f t="shared" si="33"/>
        <v>0.7441590479365332</v>
      </c>
      <c r="AA96" s="353">
        <f t="shared" si="33"/>
        <v>0.75873182268210948</v>
      </c>
      <c r="AB96" s="353">
        <f t="shared" si="33"/>
        <v>0.77445741900778753</v>
      </c>
      <c r="AC96" s="353">
        <f t="shared" si="33"/>
        <v>0.79107655250935682</v>
      </c>
    </row>
    <row r="97" spans="1:29">
      <c r="C97" s="444" t="s">
        <v>160</v>
      </c>
      <c r="D97" s="352">
        <f t="shared" ref="D97:AC97" si="34">-(D53*1.06/0.74)*$T$71</f>
        <v>0.54682636029773479</v>
      </c>
      <c r="E97" s="190">
        <f t="shared" si="34"/>
        <v>0.59278589214261523</v>
      </c>
      <c r="F97" s="190">
        <f t="shared" si="34"/>
        <v>0.63801565950362604</v>
      </c>
      <c r="G97" s="190">
        <f t="shared" si="34"/>
        <v>0.68230277693934771</v>
      </c>
      <c r="H97" s="190">
        <f t="shared" si="34"/>
        <v>0.72539201589003599</v>
      </c>
      <c r="I97" s="190">
        <f t="shared" si="34"/>
        <v>0.76402842053740683</v>
      </c>
      <c r="J97" s="190">
        <f t="shared" si="34"/>
        <v>0.81817318141867179</v>
      </c>
      <c r="K97" s="190">
        <f t="shared" si="34"/>
        <v>0.8690938622088864</v>
      </c>
      <c r="L97" s="190">
        <f t="shared" si="34"/>
        <v>0.91771558071074444</v>
      </c>
      <c r="M97" s="190">
        <f t="shared" si="34"/>
        <v>0.96136856818599425</v>
      </c>
      <c r="N97" s="190">
        <f t="shared" si="34"/>
        <v>1.0055034202711741</v>
      </c>
      <c r="O97" s="190">
        <f t="shared" si="34"/>
        <v>1.059361348728268</v>
      </c>
      <c r="P97" s="190">
        <f t="shared" si="34"/>
        <v>1.1127705213657941</v>
      </c>
      <c r="Q97" s="190">
        <f t="shared" si="34"/>
        <v>1.1663551867522284</v>
      </c>
      <c r="R97" s="190">
        <f t="shared" si="34"/>
        <v>1.218807541589022</v>
      </c>
      <c r="S97" s="353">
        <f t="shared" si="34"/>
        <v>1.2711995526412823</v>
      </c>
      <c r="T97" s="353">
        <f t="shared" si="34"/>
        <v>1.3189458994063119</v>
      </c>
      <c r="U97" s="353">
        <f t="shared" si="34"/>
        <v>1.3642732762232701</v>
      </c>
      <c r="V97" s="353">
        <f t="shared" si="34"/>
        <v>1.4097645132717067</v>
      </c>
      <c r="W97" s="353">
        <f t="shared" si="34"/>
        <v>1.4563497896485478</v>
      </c>
      <c r="X97" s="353">
        <f t="shared" si="34"/>
        <v>1.5025031461626952</v>
      </c>
      <c r="Y97" s="353">
        <f t="shared" si="34"/>
        <v>1.5514983858058486</v>
      </c>
      <c r="Z97" s="353">
        <f t="shared" si="34"/>
        <v>1.5988527560164907</v>
      </c>
      <c r="AA97" s="353">
        <f t="shared" si="34"/>
        <v>1.646370426892684</v>
      </c>
      <c r="AB97" s="353">
        <f t="shared" si="34"/>
        <v>1.6978258104567452</v>
      </c>
      <c r="AC97" s="353">
        <f t="shared" si="34"/>
        <v>1.7518761454266929</v>
      </c>
    </row>
    <row r="98" spans="1:29" ht="15.75" thickBot="1">
      <c r="C98" s="258" t="s">
        <v>54</v>
      </c>
      <c r="D98" s="354">
        <f t="shared" ref="D98:AC98" si="35">-(D54*1.06/0.74)*$T$71</f>
        <v>0.65070823305987036</v>
      </c>
      <c r="E98" s="355">
        <f t="shared" si="35"/>
        <v>0.68478890561993322</v>
      </c>
      <c r="F98" s="355">
        <f t="shared" si="35"/>
        <v>0.71518692867577394</v>
      </c>
      <c r="G98" s="355">
        <f t="shared" si="35"/>
        <v>0.73870965866257676</v>
      </c>
      <c r="H98" s="355">
        <f t="shared" si="35"/>
        <v>0.75806172154664853</v>
      </c>
      <c r="I98" s="355">
        <f t="shared" si="35"/>
        <v>0.77592006896777055</v>
      </c>
      <c r="J98" s="355">
        <f t="shared" si="35"/>
        <v>0.81817318141867179</v>
      </c>
      <c r="K98" s="355">
        <f t="shared" si="35"/>
        <v>0.8690938622088864</v>
      </c>
      <c r="L98" s="355">
        <f t="shared" si="35"/>
        <v>0.91771558071074444</v>
      </c>
      <c r="M98" s="355">
        <f t="shared" si="35"/>
        <v>0.96136856818599425</v>
      </c>
      <c r="N98" s="355">
        <f t="shared" si="35"/>
        <v>1.0055034202711741</v>
      </c>
      <c r="O98" s="355">
        <f t="shared" si="35"/>
        <v>1.059361348728268</v>
      </c>
      <c r="P98" s="355">
        <f t="shared" si="35"/>
        <v>1.1127705213657941</v>
      </c>
      <c r="Q98" s="355">
        <f t="shared" si="35"/>
        <v>1.1663551867522284</v>
      </c>
      <c r="R98" s="355">
        <f t="shared" si="35"/>
        <v>1.218807541589022</v>
      </c>
      <c r="S98" s="356">
        <f t="shared" si="35"/>
        <v>1.2711995526412823</v>
      </c>
      <c r="T98" s="356">
        <f t="shared" si="35"/>
        <v>1.3189458994063119</v>
      </c>
      <c r="U98" s="356">
        <f t="shared" si="35"/>
        <v>1.3642732762232701</v>
      </c>
      <c r="V98" s="356">
        <f t="shared" si="35"/>
        <v>1.4097645132717067</v>
      </c>
      <c r="W98" s="356">
        <f t="shared" si="35"/>
        <v>1.4563497896485478</v>
      </c>
      <c r="X98" s="356">
        <f t="shared" si="35"/>
        <v>1.5025031461626952</v>
      </c>
      <c r="Y98" s="356">
        <f t="shared" si="35"/>
        <v>1.5514983858058486</v>
      </c>
      <c r="Z98" s="356">
        <f t="shared" si="35"/>
        <v>1.5988527560164907</v>
      </c>
      <c r="AA98" s="356">
        <f t="shared" si="35"/>
        <v>1.646370426892684</v>
      </c>
      <c r="AB98" s="356">
        <f t="shared" si="35"/>
        <v>1.6978258104567452</v>
      </c>
      <c r="AC98" s="356">
        <f t="shared" si="35"/>
        <v>1.7518761454266929</v>
      </c>
    </row>
    <row r="99" spans="1:29" ht="15.75" thickBot="1"/>
    <row r="100" spans="1:29" ht="15.75" thickBot="1">
      <c r="A100" s="99"/>
      <c r="C100" s="570" t="s">
        <v>48</v>
      </c>
      <c r="D100" s="399">
        <v>2015</v>
      </c>
      <c r="E100" s="399">
        <v>2016</v>
      </c>
      <c r="F100" s="399">
        <v>2017</v>
      </c>
      <c r="G100" s="399">
        <v>2018</v>
      </c>
      <c r="H100" s="399">
        <v>2019</v>
      </c>
      <c r="I100" s="469">
        <v>2020</v>
      </c>
      <c r="J100" s="399">
        <v>2021</v>
      </c>
      <c r="K100" s="399">
        <v>2022</v>
      </c>
      <c r="L100" s="399">
        <v>2023</v>
      </c>
      <c r="M100" s="399">
        <v>2024</v>
      </c>
      <c r="N100" s="399">
        <v>2025</v>
      </c>
      <c r="O100" s="399">
        <v>2026</v>
      </c>
      <c r="P100" s="399">
        <v>2027</v>
      </c>
      <c r="Q100" s="399">
        <v>2028</v>
      </c>
      <c r="R100" s="399">
        <v>2029</v>
      </c>
      <c r="S100" s="399">
        <v>2030</v>
      </c>
      <c r="T100" s="399">
        <v>2031</v>
      </c>
      <c r="U100" s="399">
        <v>2032</v>
      </c>
      <c r="V100" s="399">
        <v>2033</v>
      </c>
      <c r="W100" s="399">
        <v>2034</v>
      </c>
      <c r="X100" s="399">
        <v>2035</v>
      </c>
      <c r="Y100" s="399">
        <v>2036</v>
      </c>
      <c r="Z100" s="399">
        <v>2037</v>
      </c>
      <c r="AA100" s="399">
        <v>2038</v>
      </c>
      <c r="AB100" s="399">
        <v>2039</v>
      </c>
      <c r="AC100" s="399">
        <v>2040</v>
      </c>
    </row>
    <row r="101" spans="1:29">
      <c r="A101" s="99"/>
      <c r="B101" s="573" t="s">
        <v>55</v>
      </c>
      <c r="C101" s="571"/>
      <c r="D101" s="427"/>
      <c r="E101" s="427"/>
      <c r="F101" s="427"/>
      <c r="G101" s="427"/>
      <c r="H101" s="427"/>
      <c r="I101" s="427"/>
      <c r="J101" s="427"/>
      <c r="K101" s="427"/>
      <c r="L101" s="427"/>
      <c r="M101" s="427"/>
      <c r="N101" s="427"/>
      <c r="O101" s="427"/>
      <c r="P101" s="427"/>
      <c r="Q101" s="427"/>
      <c r="R101" s="427"/>
      <c r="S101" s="427"/>
      <c r="T101" s="427"/>
      <c r="U101" s="427"/>
      <c r="V101" s="427"/>
      <c r="W101" s="427"/>
      <c r="X101" s="427"/>
      <c r="Y101" s="427"/>
      <c r="Z101" s="427"/>
      <c r="AA101" s="427"/>
      <c r="AB101" s="427"/>
      <c r="AC101" s="427"/>
    </row>
    <row r="102" spans="1:29">
      <c r="B102" s="168" t="s">
        <v>165</v>
      </c>
      <c r="C102" s="574" t="s">
        <v>161</v>
      </c>
      <c r="D102" s="427">
        <f>'REF_SCENARIO Costs'!C19</f>
        <v>1.05</v>
      </c>
      <c r="E102" s="427">
        <f>'REF_SCENARIO Costs'!D19</f>
        <v>1.05</v>
      </c>
      <c r="F102" s="427">
        <f>'REF_SCENARIO Costs'!E19</f>
        <v>1.05</v>
      </c>
      <c r="G102" s="427">
        <f>'REF_SCENARIO Costs'!F19</f>
        <v>1.05</v>
      </c>
      <c r="H102" s="427">
        <f>'REF_SCENARIO Costs'!G19</f>
        <v>1.05</v>
      </c>
      <c r="I102" s="427">
        <f>'REF_SCENARIO Costs'!H19</f>
        <v>1.02</v>
      </c>
      <c r="J102" s="427">
        <f>'REF_SCENARIO Costs'!I19</f>
        <v>1.02</v>
      </c>
      <c r="K102" s="427">
        <f>'REF_SCENARIO Costs'!J19</f>
        <v>1.02</v>
      </c>
      <c r="L102" s="427">
        <f>'REF_SCENARIO Costs'!K19</f>
        <v>1.02</v>
      </c>
      <c r="M102" s="427">
        <f>'REF_SCENARIO Costs'!L19</f>
        <v>1.02</v>
      </c>
      <c r="N102" s="427">
        <f>'REF_SCENARIO Costs'!M19</f>
        <v>1.02</v>
      </c>
      <c r="O102" s="427">
        <f>'REF_SCENARIO Costs'!N19</f>
        <v>1.02</v>
      </c>
      <c r="P102" s="427">
        <f>'REF_SCENARIO Costs'!O19</f>
        <v>1.02</v>
      </c>
      <c r="Q102" s="427">
        <f>'REF_SCENARIO Costs'!P19</f>
        <v>1.02</v>
      </c>
      <c r="R102" s="427">
        <f>'REF_SCENARIO Costs'!Q19</f>
        <v>1.02</v>
      </c>
      <c r="S102" s="427">
        <f>'REF_SCENARIO Costs'!R19</f>
        <v>1.02</v>
      </c>
      <c r="T102" s="427">
        <f>'REF_SCENARIO Costs'!S19</f>
        <v>1.02</v>
      </c>
      <c r="U102" s="427">
        <f>'REF_SCENARIO Costs'!T19</f>
        <v>1.02</v>
      </c>
      <c r="V102" s="427">
        <f>'REF_SCENARIO Costs'!U19</f>
        <v>1.02</v>
      </c>
      <c r="W102" s="427">
        <f>'REF_SCENARIO Costs'!V19</f>
        <v>1.02</v>
      </c>
      <c r="X102" s="427">
        <f>'REF_SCENARIO Costs'!W19</f>
        <v>1.02</v>
      </c>
      <c r="Y102" s="427">
        <f>'REF_SCENARIO Costs'!X19</f>
        <v>1.02</v>
      </c>
      <c r="Z102" s="427">
        <f>'REF_SCENARIO Costs'!Y19</f>
        <v>1.02</v>
      </c>
      <c r="AA102" s="427">
        <f>'REF_SCENARIO Costs'!Z19</f>
        <v>1.02</v>
      </c>
      <c r="AB102" s="427">
        <f>'REF_SCENARIO Costs'!AA19</f>
        <v>1.02</v>
      </c>
      <c r="AC102" s="427">
        <f>'REF_SCENARIO Costs'!AB19</f>
        <v>1.02</v>
      </c>
    </row>
    <row r="103" spans="1:29">
      <c r="B103" s="168" t="s">
        <v>166</v>
      </c>
      <c r="C103" s="574" t="s">
        <v>162</v>
      </c>
      <c r="D103" s="427">
        <f>'REF_SCENARIO Costs'!C20</f>
        <v>1.2</v>
      </c>
      <c r="E103" s="427">
        <f>'REF_SCENARIO Costs'!D20</f>
        <v>1.2</v>
      </c>
      <c r="F103" s="427">
        <f>'REF_SCENARIO Costs'!E20</f>
        <v>1.2</v>
      </c>
      <c r="G103" s="427">
        <f>'REF_SCENARIO Costs'!F20</f>
        <v>1.2</v>
      </c>
      <c r="H103" s="427">
        <f>'REF_SCENARIO Costs'!G20</f>
        <v>1.2</v>
      </c>
      <c r="I103" s="427">
        <f>'REF_SCENARIO Costs'!H20</f>
        <v>1.05</v>
      </c>
      <c r="J103" s="427">
        <f>'REF_SCENARIO Costs'!I20</f>
        <v>1.05</v>
      </c>
      <c r="K103" s="427">
        <f>'REF_SCENARIO Costs'!J20</f>
        <v>1.05</v>
      </c>
      <c r="L103" s="427">
        <f>'REF_SCENARIO Costs'!K20</f>
        <v>1.05</v>
      </c>
      <c r="M103" s="427">
        <f>'REF_SCENARIO Costs'!L20</f>
        <v>1.05</v>
      </c>
      <c r="N103" s="427">
        <f>'REF_SCENARIO Costs'!M20</f>
        <v>1.05</v>
      </c>
      <c r="O103" s="427">
        <f>'REF_SCENARIO Costs'!N20</f>
        <v>1.05</v>
      </c>
      <c r="P103" s="427">
        <f>'REF_SCENARIO Costs'!O20</f>
        <v>1.05</v>
      </c>
      <c r="Q103" s="427">
        <f>'REF_SCENARIO Costs'!P20</f>
        <v>1.05</v>
      </c>
      <c r="R103" s="427">
        <f>'REF_SCENARIO Costs'!Q20</f>
        <v>1.05</v>
      </c>
      <c r="S103" s="427">
        <f>'REF_SCENARIO Costs'!R20</f>
        <v>1.05</v>
      </c>
      <c r="T103" s="427">
        <f>'REF_SCENARIO Costs'!S20</f>
        <v>1.05</v>
      </c>
      <c r="U103" s="427">
        <f>'REF_SCENARIO Costs'!T20</f>
        <v>1.05</v>
      </c>
      <c r="V103" s="427">
        <f>'REF_SCENARIO Costs'!U20</f>
        <v>1.05</v>
      </c>
      <c r="W103" s="427">
        <f>'REF_SCENARIO Costs'!V20</f>
        <v>1.05</v>
      </c>
      <c r="X103" s="427">
        <f>'REF_SCENARIO Costs'!W20</f>
        <v>1.05</v>
      </c>
      <c r="Y103" s="427">
        <f>'REF_SCENARIO Costs'!X20</f>
        <v>1.05</v>
      </c>
      <c r="Z103" s="427">
        <f>'REF_SCENARIO Costs'!Y20</f>
        <v>1.05</v>
      </c>
      <c r="AA103" s="427">
        <f>'REF_SCENARIO Costs'!Z20</f>
        <v>1.05</v>
      </c>
      <c r="AB103" s="427">
        <f>'REF_SCENARIO Costs'!AA20</f>
        <v>1.05</v>
      </c>
      <c r="AC103" s="427">
        <f>'REF_SCENARIO Costs'!AB20</f>
        <v>1.05</v>
      </c>
    </row>
    <row r="104" spans="1:29">
      <c r="B104" s="170" t="s">
        <v>56</v>
      </c>
      <c r="C104" s="574"/>
      <c r="D104" s="427"/>
      <c r="E104" s="427"/>
      <c r="F104" s="427"/>
      <c r="G104" s="427"/>
      <c r="H104" s="427"/>
      <c r="I104" s="427"/>
      <c r="J104" s="427"/>
      <c r="K104" s="427"/>
      <c r="L104" s="427"/>
      <c r="M104" s="427"/>
      <c r="N104" s="427"/>
      <c r="O104" s="427"/>
      <c r="P104" s="427"/>
      <c r="Q104" s="427"/>
      <c r="R104" s="427"/>
      <c r="S104" s="427"/>
      <c r="T104" s="427"/>
      <c r="U104" s="427"/>
      <c r="V104" s="427"/>
      <c r="W104" s="427"/>
      <c r="X104" s="427"/>
      <c r="Y104" s="427"/>
      <c r="Z104" s="427"/>
      <c r="AA104" s="427"/>
      <c r="AB104" s="427"/>
      <c r="AC104" s="427"/>
    </row>
    <row r="105" spans="1:29">
      <c r="B105" s="168" t="s">
        <v>168</v>
      </c>
      <c r="C105" s="574" t="s">
        <v>163</v>
      </c>
      <c r="D105" s="427">
        <f>'REF_SCENARIO Costs'!C27</f>
        <v>2.1</v>
      </c>
      <c r="E105" s="427">
        <f>'REF_SCENARIO Costs'!D27</f>
        <v>2.1</v>
      </c>
      <c r="F105" s="427">
        <f>'REF_SCENARIO Costs'!E27</f>
        <v>2.1</v>
      </c>
      <c r="G105" s="427">
        <f>'REF_SCENARIO Costs'!F27</f>
        <v>2.1</v>
      </c>
      <c r="H105" s="427">
        <f>'REF_SCENARIO Costs'!G27</f>
        <v>2.1</v>
      </c>
      <c r="I105" s="427">
        <f>'REF_SCENARIO Costs'!H27</f>
        <v>2.04</v>
      </c>
      <c r="J105" s="427">
        <f>'REF_SCENARIO Costs'!I27</f>
        <v>2.04</v>
      </c>
      <c r="K105" s="427">
        <f>'REF_SCENARIO Costs'!J27</f>
        <v>2.04</v>
      </c>
      <c r="L105" s="427">
        <f>'REF_SCENARIO Costs'!K27</f>
        <v>2.04</v>
      </c>
      <c r="M105" s="427">
        <f>'REF_SCENARIO Costs'!L27</f>
        <v>2.04</v>
      </c>
      <c r="N105" s="427">
        <f>'REF_SCENARIO Costs'!M27</f>
        <v>2.04</v>
      </c>
      <c r="O105" s="427">
        <f>'REF_SCENARIO Costs'!N27</f>
        <v>2.04</v>
      </c>
      <c r="P105" s="427">
        <f>'REF_SCENARIO Costs'!O27</f>
        <v>2.04</v>
      </c>
      <c r="Q105" s="427">
        <f>'REF_SCENARIO Costs'!P27</f>
        <v>2.04</v>
      </c>
      <c r="R105" s="427">
        <f>'REF_SCENARIO Costs'!Q27</f>
        <v>2.04</v>
      </c>
      <c r="S105" s="427">
        <f>'REF_SCENARIO Costs'!R27</f>
        <v>2.04</v>
      </c>
      <c r="T105" s="427">
        <f>'REF_SCENARIO Costs'!S27</f>
        <v>2.04</v>
      </c>
      <c r="U105" s="427">
        <f>'REF_SCENARIO Costs'!T27</f>
        <v>2.04</v>
      </c>
      <c r="V105" s="427">
        <f>'REF_SCENARIO Costs'!U27</f>
        <v>2.04</v>
      </c>
      <c r="W105" s="427">
        <f>'REF_SCENARIO Costs'!V27</f>
        <v>2.04</v>
      </c>
      <c r="X105" s="427">
        <f>'REF_SCENARIO Costs'!W27</f>
        <v>2.04</v>
      </c>
      <c r="Y105" s="427">
        <f>'REF_SCENARIO Costs'!X27</f>
        <v>2.04</v>
      </c>
      <c r="Z105" s="427">
        <f>'REF_SCENARIO Costs'!Y27</f>
        <v>2.04</v>
      </c>
      <c r="AA105" s="427">
        <f>'REF_SCENARIO Costs'!Z27</f>
        <v>2.04</v>
      </c>
      <c r="AB105" s="427">
        <f>'REF_SCENARIO Costs'!AA27</f>
        <v>2.04</v>
      </c>
      <c r="AC105" s="427">
        <f>'REF_SCENARIO Costs'!AB27</f>
        <v>2.04</v>
      </c>
    </row>
    <row r="106" spans="1:29">
      <c r="B106" s="168" t="s">
        <v>167</v>
      </c>
      <c r="C106" s="574" t="s">
        <v>164</v>
      </c>
      <c r="D106" s="427">
        <f>'REF_SCENARIO Costs'!C28</f>
        <v>2.4</v>
      </c>
      <c r="E106" s="427">
        <f>'REF_SCENARIO Costs'!D28</f>
        <v>2.4</v>
      </c>
      <c r="F106" s="427">
        <f>'REF_SCENARIO Costs'!E28</f>
        <v>2.4</v>
      </c>
      <c r="G106" s="427">
        <f>'REF_SCENARIO Costs'!F28</f>
        <v>2.4</v>
      </c>
      <c r="H106" s="427">
        <f>'REF_SCENARIO Costs'!G28</f>
        <v>2.4</v>
      </c>
      <c r="I106" s="427">
        <f>'REF_SCENARIO Costs'!H28</f>
        <v>2.1</v>
      </c>
      <c r="J106" s="427">
        <f>'REF_SCENARIO Costs'!I28</f>
        <v>2.1</v>
      </c>
      <c r="K106" s="427">
        <f>'REF_SCENARIO Costs'!J28</f>
        <v>2.1</v>
      </c>
      <c r="L106" s="427">
        <f>'REF_SCENARIO Costs'!K28</f>
        <v>2.1</v>
      </c>
      <c r="M106" s="427">
        <f>'REF_SCENARIO Costs'!L28</f>
        <v>2.1</v>
      </c>
      <c r="N106" s="427">
        <f>'REF_SCENARIO Costs'!M28</f>
        <v>2.1</v>
      </c>
      <c r="O106" s="427">
        <f>'REF_SCENARIO Costs'!N28</f>
        <v>2.1</v>
      </c>
      <c r="P106" s="427">
        <f>'REF_SCENARIO Costs'!O28</f>
        <v>2.1</v>
      </c>
      <c r="Q106" s="427">
        <f>'REF_SCENARIO Costs'!P28</f>
        <v>2.1</v>
      </c>
      <c r="R106" s="427">
        <f>'REF_SCENARIO Costs'!Q28</f>
        <v>2.1</v>
      </c>
      <c r="S106" s="427">
        <f>'REF_SCENARIO Costs'!R28</f>
        <v>2.1</v>
      </c>
      <c r="T106" s="427">
        <f>'REF_SCENARIO Costs'!S28</f>
        <v>2.1</v>
      </c>
      <c r="U106" s="427">
        <f>'REF_SCENARIO Costs'!T28</f>
        <v>2.1</v>
      </c>
      <c r="V106" s="427">
        <f>'REF_SCENARIO Costs'!U28</f>
        <v>2.1</v>
      </c>
      <c r="W106" s="427">
        <f>'REF_SCENARIO Costs'!V28</f>
        <v>2.1</v>
      </c>
      <c r="X106" s="427">
        <f>'REF_SCENARIO Costs'!W28</f>
        <v>2.1</v>
      </c>
      <c r="Y106" s="427">
        <f>'REF_SCENARIO Costs'!X28</f>
        <v>2.1</v>
      </c>
      <c r="Z106" s="427">
        <f>'REF_SCENARIO Costs'!Y28</f>
        <v>2.1</v>
      </c>
      <c r="AA106" s="427">
        <f>'REF_SCENARIO Costs'!Z28</f>
        <v>2.1</v>
      </c>
      <c r="AB106" s="427">
        <f>'REF_SCENARIO Costs'!AA28</f>
        <v>2.1</v>
      </c>
      <c r="AC106" s="427">
        <f>'REF_SCENARIO Costs'!AB28</f>
        <v>2.1</v>
      </c>
    </row>
    <row r="107" spans="1:29" ht="15.75" thickBot="1">
      <c r="B107" s="173"/>
      <c r="C107" s="572"/>
      <c r="D107" s="428"/>
      <c r="E107" s="428"/>
      <c r="F107" s="428"/>
      <c r="G107" s="428"/>
      <c r="H107" s="428"/>
      <c r="I107" s="428"/>
      <c r="J107" s="428"/>
      <c r="K107" s="428"/>
      <c r="L107" s="428"/>
      <c r="M107" s="428"/>
      <c r="N107" s="428"/>
      <c r="O107" s="428"/>
      <c r="P107" s="428"/>
      <c r="Q107" s="428"/>
      <c r="R107" s="428"/>
      <c r="S107" s="428"/>
      <c r="T107" s="428"/>
      <c r="U107" s="428"/>
      <c r="V107" s="428"/>
      <c r="W107" s="428"/>
      <c r="X107" s="428"/>
      <c r="Y107" s="428"/>
      <c r="Z107" s="428"/>
      <c r="AA107" s="428"/>
      <c r="AB107" s="428"/>
      <c r="AC107" s="428"/>
    </row>
    <row r="108" spans="1:29" ht="15.75" thickBot="1">
      <c r="C108" s="575" t="s">
        <v>53</v>
      </c>
      <c r="D108" s="165">
        <v>2015</v>
      </c>
      <c r="E108" s="165">
        <v>2016</v>
      </c>
      <c r="F108" s="165">
        <v>2017</v>
      </c>
      <c r="G108" s="165">
        <v>2018</v>
      </c>
      <c r="H108" s="165">
        <v>2019</v>
      </c>
      <c r="I108" s="165">
        <v>2020</v>
      </c>
      <c r="J108" s="165">
        <v>2021</v>
      </c>
      <c r="K108" s="165">
        <v>2022</v>
      </c>
      <c r="L108" s="165">
        <v>2023</v>
      </c>
      <c r="M108" s="165">
        <v>2024</v>
      </c>
      <c r="N108" s="165">
        <v>2025</v>
      </c>
      <c r="O108" s="165">
        <v>2026</v>
      </c>
      <c r="P108" s="165">
        <v>2027</v>
      </c>
      <c r="Q108" s="165">
        <v>2028</v>
      </c>
      <c r="R108" s="165">
        <v>2029</v>
      </c>
      <c r="S108" s="165">
        <v>2030</v>
      </c>
      <c r="T108" s="165">
        <v>2031</v>
      </c>
      <c r="U108" s="165">
        <v>2032</v>
      </c>
      <c r="V108" s="165">
        <v>2033</v>
      </c>
      <c r="W108" s="165">
        <v>2034</v>
      </c>
      <c r="X108" s="165">
        <v>2035</v>
      </c>
      <c r="Y108" s="165">
        <v>2036</v>
      </c>
      <c r="Z108" s="165">
        <v>2037</v>
      </c>
      <c r="AA108" s="165">
        <v>2038</v>
      </c>
      <c r="AB108" s="165">
        <v>2039</v>
      </c>
      <c r="AC108" s="165">
        <v>2040</v>
      </c>
    </row>
    <row r="109" spans="1:29">
      <c r="B109" s="585" t="s">
        <v>55</v>
      </c>
      <c r="C109" s="586"/>
      <c r="D109" s="174"/>
      <c r="E109" s="174"/>
      <c r="F109" s="174"/>
      <c r="G109" s="174"/>
      <c r="H109" s="174"/>
      <c r="I109" s="174"/>
      <c r="J109" s="174"/>
      <c r="K109" s="174"/>
      <c r="L109" s="174"/>
      <c r="M109" s="174"/>
      <c r="N109" s="174"/>
      <c r="O109" s="174"/>
      <c r="P109" s="174"/>
      <c r="Q109" s="174"/>
      <c r="R109" s="174"/>
      <c r="S109" s="174"/>
      <c r="T109" s="174"/>
      <c r="U109" s="174"/>
      <c r="V109" s="174"/>
      <c r="W109" s="174"/>
      <c r="X109" s="174"/>
      <c r="Y109" s="174"/>
      <c r="Z109" s="174"/>
      <c r="AA109" s="174"/>
      <c r="AB109" s="174"/>
      <c r="AC109" s="174"/>
    </row>
    <row r="110" spans="1:29">
      <c r="B110" s="171" t="s">
        <v>165</v>
      </c>
      <c r="C110" s="587" t="s">
        <v>161</v>
      </c>
      <c r="D110" s="176">
        <f>'REF_SCENARIO Costs'!C37</f>
        <v>6.3000000000000007</v>
      </c>
      <c r="E110" s="176">
        <f>'REF_SCENARIO Costs'!D37</f>
        <v>6.3000000000000007</v>
      </c>
      <c r="F110" s="176">
        <f>'REF_SCENARIO Costs'!E37</f>
        <v>6.3000000000000007</v>
      </c>
      <c r="G110" s="176">
        <f>'REF_SCENARIO Costs'!F37</f>
        <v>6.3000000000000007</v>
      </c>
      <c r="H110" s="176">
        <f>'REF_SCENARIO Costs'!G37</f>
        <v>6.3000000000000007</v>
      </c>
      <c r="I110" s="176">
        <f>'REF_SCENARIO Costs'!H37</f>
        <v>6.12</v>
      </c>
      <c r="J110" s="176">
        <f>'REF_SCENARIO Costs'!I37</f>
        <v>6.12</v>
      </c>
      <c r="K110" s="176">
        <f>'REF_SCENARIO Costs'!J37</f>
        <v>6.12</v>
      </c>
      <c r="L110" s="176">
        <f>'REF_SCENARIO Costs'!K37</f>
        <v>6.12</v>
      </c>
      <c r="M110" s="176">
        <f>'REF_SCENARIO Costs'!L37</f>
        <v>6.12</v>
      </c>
      <c r="N110" s="176">
        <f>'REF_SCENARIO Costs'!M37</f>
        <v>6.12</v>
      </c>
      <c r="O110" s="176">
        <f>'REF_SCENARIO Costs'!N37</f>
        <v>6.12</v>
      </c>
      <c r="P110" s="176">
        <f>'REF_SCENARIO Costs'!O37</f>
        <v>6.12</v>
      </c>
      <c r="Q110" s="176">
        <f>'REF_SCENARIO Costs'!P37</f>
        <v>6.12</v>
      </c>
      <c r="R110" s="176">
        <f>'REF_SCENARIO Costs'!Q37</f>
        <v>6.12</v>
      </c>
      <c r="S110" s="176">
        <f>'REF_SCENARIO Costs'!R37</f>
        <v>6.12</v>
      </c>
      <c r="T110" s="176">
        <f>'REF_SCENARIO Costs'!S37</f>
        <v>6.12</v>
      </c>
      <c r="U110" s="176">
        <f>'REF_SCENARIO Costs'!T37</f>
        <v>6.12</v>
      </c>
      <c r="V110" s="176">
        <f>'REF_SCENARIO Costs'!U37</f>
        <v>6.12</v>
      </c>
      <c r="W110" s="176">
        <f>'REF_SCENARIO Costs'!V37</f>
        <v>6.12</v>
      </c>
      <c r="X110" s="176">
        <f>'REF_SCENARIO Costs'!W37</f>
        <v>6.12</v>
      </c>
      <c r="Y110" s="176">
        <f>'REF_SCENARIO Costs'!X37</f>
        <v>6.12</v>
      </c>
      <c r="Z110" s="176">
        <f>'REF_SCENARIO Costs'!Y37</f>
        <v>6.12</v>
      </c>
      <c r="AA110" s="176">
        <f>'REF_SCENARIO Costs'!Z37</f>
        <v>6.12</v>
      </c>
      <c r="AB110" s="176">
        <f>'REF_SCENARIO Costs'!AA37</f>
        <v>6.12</v>
      </c>
      <c r="AC110" s="176">
        <f>'REF_SCENARIO Costs'!AB37</f>
        <v>6.12</v>
      </c>
    </row>
    <row r="111" spans="1:29">
      <c r="B111" s="171" t="s">
        <v>166</v>
      </c>
      <c r="C111" s="587" t="s">
        <v>162</v>
      </c>
      <c r="D111" s="176">
        <f>'REF_SCENARIO Costs'!C38</f>
        <v>7.1999999999999993</v>
      </c>
      <c r="E111" s="176">
        <f>'REF_SCENARIO Costs'!D38</f>
        <v>7.1999999999999993</v>
      </c>
      <c r="F111" s="176">
        <f>'REF_SCENARIO Costs'!E38</f>
        <v>7.1999999999999993</v>
      </c>
      <c r="G111" s="176">
        <f>'REF_SCENARIO Costs'!F38</f>
        <v>7.1999999999999993</v>
      </c>
      <c r="H111" s="176">
        <f>'REF_SCENARIO Costs'!G38</f>
        <v>7.1999999999999993</v>
      </c>
      <c r="I111" s="176">
        <f>'REF_SCENARIO Costs'!H38</f>
        <v>6.3000000000000007</v>
      </c>
      <c r="J111" s="176">
        <f>'REF_SCENARIO Costs'!I38</f>
        <v>6.3000000000000007</v>
      </c>
      <c r="K111" s="176">
        <f>'REF_SCENARIO Costs'!J38</f>
        <v>6.3000000000000007</v>
      </c>
      <c r="L111" s="176">
        <f>'REF_SCENARIO Costs'!K38</f>
        <v>6.3000000000000007</v>
      </c>
      <c r="M111" s="176">
        <f>'REF_SCENARIO Costs'!L38</f>
        <v>6.3000000000000007</v>
      </c>
      <c r="N111" s="176">
        <f>'REF_SCENARIO Costs'!M38</f>
        <v>6.3000000000000007</v>
      </c>
      <c r="O111" s="176">
        <f>'REF_SCENARIO Costs'!N38</f>
        <v>6.3000000000000007</v>
      </c>
      <c r="P111" s="176">
        <f>'REF_SCENARIO Costs'!O38</f>
        <v>6.3000000000000007</v>
      </c>
      <c r="Q111" s="176">
        <f>'REF_SCENARIO Costs'!P38</f>
        <v>6.3000000000000007</v>
      </c>
      <c r="R111" s="176">
        <f>'REF_SCENARIO Costs'!Q38</f>
        <v>6.3000000000000007</v>
      </c>
      <c r="S111" s="176">
        <f>'REF_SCENARIO Costs'!R38</f>
        <v>6.3000000000000007</v>
      </c>
      <c r="T111" s="176">
        <f>'REF_SCENARIO Costs'!S38</f>
        <v>6.3000000000000007</v>
      </c>
      <c r="U111" s="176">
        <f>'REF_SCENARIO Costs'!T38</f>
        <v>6.3000000000000007</v>
      </c>
      <c r="V111" s="176">
        <f>'REF_SCENARIO Costs'!U38</f>
        <v>6.3000000000000007</v>
      </c>
      <c r="W111" s="176">
        <f>'REF_SCENARIO Costs'!V38</f>
        <v>6.3000000000000007</v>
      </c>
      <c r="X111" s="176">
        <f>'REF_SCENARIO Costs'!W38</f>
        <v>6.3000000000000007</v>
      </c>
      <c r="Y111" s="176">
        <f>'REF_SCENARIO Costs'!X38</f>
        <v>6.3000000000000007</v>
      </c>
      <c r="Z111" s="176">
        <f>'REF_SCENARIO Costs'!Y38</f>
        <v>6.3000000000000007</v>
      </c>
      <c r="AA111" s="176">
        <f>'REF_SCENARIO Costs'!Z38</f>
        <v>6.3000000000000007</v>
      </c>
      <c r="AB111" s="176">
        <f>'REF_SCENARIO Costs'!AA38</f>
        <v>6.3000000000000007</v>
      </c>
      <c r="AC111" s="176">
        <f>'REF_SCENARIO Costs'!AB38</f>
        <v>6.3000000000000007</v>
      </c>
    </row>
    <row r="112" spans="1:29">
      <c r="B112" s="172" t="s">
        <v>56</v>
      </c>
      <c r="C112" s="587"/>
      <c r="D112" s="171"/>
      <c r="E112" s="171"/>
      <c r="F112" s="171"/>
      <c r="G112" s="171"/>
      <c r="H112" s="171"/>
      <c r="I112" s="171"/>
      <c r="J112" s="171"/>
      <c r="K112" s="171"/>
      <c r="L112" s="171"/>
      <c r="M112" s="171"/>
      <c r="N112" s="171"/>
      <c r="O112" s="171"/>
      <c r="P112" s="171"/>
      <c r="Q112" s="171"/>
      <c r="R112" s="171"/>
      <c r="S112" s="171"/>
      <c r="T112" s="171"/>
      <c r="U112" s="171"/>
      <c r="V112" s="171"/>
      <c r="W112" s="171"/>
      <c r="X112" s="171"/>
      <c r="Y112" s="171"/>
      <c r="Z112" s="171"/>
      <c r="AA112" s="171"/>
      <c r="AB112" s="171"/>
      <c r="AC112" s="171"/>
    </row>
    <row r="113" spans="2:29">
      <c r="B113" s="171" t="s">
        <v>168</v>
      </c>
      <c r="C113" s="587" t="s">
        <v>163</v>
      </c>
      <c r="D113" s="176">
        <f>'REF_SCENARIO Costs'!C45</f>
        <v>10.5</v>
      </c>
      <c r="E113" s="176">
        <f>'REF_SCENARIO Costs'!D45</f>
        <v>10.5</v>
      </c>
      <c r="F113" s="176">
        <f>'REF_SCENARIO Costs'!E45</f>
        <v>10.5</v>
      </c>
      <c r="G113" s="176">
        <f>'REF_SCENARIO Costs'!F45</f>
        <v>10.5</v>
      </c>
      <c r="H113" s="176">
        <f>'REF_SCENARIO Costs'!G45</f>
        <v>10.5</v>
      </c>
      <c r="I113" s="176">
        <f>'REF_SCENARIO Costs'!H45</f>
        <v>10.199999999999999</v>
      </c>
      <c r="J113" s="176">
        <f>'REF_SCENARIO Costs'!I45</f>
        <v>10.199999999999999</v>
      </c>
      <c r="K113" s="176">
        <f>'REF_SCENARIO Costs'!J45</f>
        <v>10.199999999999999</v>
      </c>
      <c r="L113" s="176">
        <f>'REF_SCENARIO Costs'!K45</f>
        <v>10.199999999999999</v>
      </c>
      <c r="M113" s="176">
        <f>'REF_SCENARIO Costs'!L45</f>
        <v>10.199999999999999</v>
      </c>
      <c r="N113" s="176">
        <f>'REF_SCENARIO Costs'!M45</f>
        <v>10.199999999999999</v>
      </c>
      <c r="O113" s="176">
        <f>'REF_SCENARIO Costs'!N45</f>
        <v>10.199999999999999</v>
      </c>
      <c r="P113" s="176">
        <f>'REF_SCENARIO Costs'!O45</f>
        <v>10.199999999999999</v>
      </c>
      <c r="Q113" s="176">
        <f>'REF_SCENARIO Costs'!P45</f>
        <v>10.199999999999999</v>
      </c>
      <c r="R113" s="176">
        <f>'REF_SCENARIO Costs'!Q45</f>
        <v>10.199999999999999</v>
      </c>
      <c r="S113" s="176">
        <f>'REF_SCENARIO Costs'!R45</f>
        <v>10.199999999999999</v>
      </c>
      <c r="T113" s="176">
        <f>'REF_SCENARIO Costs'!S45</f>
        <v>10.199999999999999</v>
      </c>
      <c r="U113" s="176">
        <f>'REF_SCENARIO Costs'!T45</f>
        <v>10.199999999999999</v>
      </c>
      <c r="V113" s="176">
        <f>'REF_SCENARIO Costs'!U45</f>
        <v>10.199999999999999</v>
      </c>
      <c r="W113" s="176">
        <f>'REF_SCENARIO Costs'!V45</f>
        <v>10.199999999999999</v>
      </c>
      <c r="X113" s="176">
        <f>'REF_SCENARIO Costs'!W45</f>
        <v>10.199999999999999</v>
      </c>
      <c r="Y113" s="176">
        <f>'REF_SCENARIO Costs'!X45</f>
        <v>10.199999999999999</v>
      </c>
      <c r="Z113" s="176">
        <f>'REF_SCENARIO Costs'!Y45</f>
        <v>10.199999999999999</v>
      </c>
      <c r="AA113" s="176">
        <f>'REF_SCENARIO Costs'!Z45</f>
        <v>10.199999999999999</v>
      </c>
      <c r="AB113" s="176">
        <f>'REF_SCENARIO Costs'!AA45</f>
        <v>10.199999999999999</v>
      </c>
      <c r="AC113" s="176">
        <f>'REF_SCENARIO Costs'!AB45</f>
        <v>10.199999999999999</v>
      </c>
    </row>
    <row r="114" spans="2:29">
      <c r="B114" s="171" t="s">
        <v>167</v>
      </c>
      <c r="C114" s="587" t="s">
        <v>164</v>
      </c>
      <c r="D114" s="176">
        <f>'REF_SCENARIO Costs'!C46</f>
        <v>12</v>
      </c>
      <c r="E114" s="176">
        <f>'REF_SCENARIO Costs'!D46</f>
        <v>12</v>
      </c>
      <c r="F114" s="176">
        <f>'REF_SCENARIO Costs'!E46</f>
        <v>12</v>
      </c>
      <c r="G114" s="176">
        <f>'REF_SCENARIO Costs'!F46</f>
        <v>12</v>
      </c>
      <c r="H114" s="176">
        <f>'REF_SCENARIO Costs'!G46</f>
        <v>12</v>
      </c>
      <c r="I114" s="176">
        <f>'REF_SCENARIO Costs'!H46</f>
        <v>10.5</v>
      </c>
      <c r="J114" s="176">
        <f>'REF_SCENARIO Costs'!I46</f>
        <v>10.5</v>
      </c>
      <c r="K114" s="176">
        <f>'REF_SCENARIO Costs'!J46</f>
        <v>10.5</v>
      </c>
      <c r="L114" s="176">
        <f>'REF_SCENARIO Costs'!K46</f>
        <v>10.5</v>
      </c>
      <c r="M114" s="176">
        <f>'REF_SCENARIO Costs'!L46</f>
        <v>10.5</v>
      </c>
      <c r="N114" s="176">
        <f>'REF_SCENARIO Costs'!M46</f>
        <v>10.5</v>
      </c>
      <c r="O114" s="176">
        <f>'REF_SCENARIO Costs'!N46</f>
        <v>10.5</v>
      </c>
      <c r="P114" s="176">
        <f>'REF_SCENARIO Costs'!O46</f>
        <v>10.5</v>
      </c>
      <c r="Q114" s="176">
        <f>'REF_SCENARIO Costs'!P46</f>
        <v>10.5</v>
      </c>
      <c r="R114" s="176">
        <f>'REF_SCENARIO Costs'!Q46</f>
        <v>10.5</v>
      </c>
      <c r="S114" s="176">
        <f>'REF_SCENARIO Costs'!R46</f>
        <v>10.5</v>
      </c>
      <c r="T114" s="176">
        <f>'REF_SCENARIO Costs'!S46</f>
        <v>10.5</v>
      </c>
      <c r="U114" s="176">
        <f>'REF_SCENARIO Costs'!T46</f>
        <v>10.5</v>
      </c>
      <c r="V114" s="176">
        <f>'REF_SCENARIO Costs'!U46</f>
        <v>10.5</v>
      </c>
      <c r="W114" s="176">
        <f>'REF_SCENARIO Costs'!V46</f>
        <v>10.5</v>
      </c>
      <c r="X114" s="176">
        <f>'REF_SCENARIO Costs'!W46</f>
        <v>10.5</v>
      </c>
      <c r="Y114" s="176">
        <f>'REF_SCENARIO Costs'!X46</f>
        <v>10.5</v>
      </c>
      <c r="Z114" s="176">
        <f>'REF_SCENARIO Costs'!Y46</f>
        <v>10.5</v>
      </c>
      <c r="AA114" s="176">
        <f>'REF_SCENARIO Costs'!Z46</f>
        <v>10.5</v>
      </c>
      <c r="AB114" s="176">
        <f>'REF_SCENARIO Costs'!AA46</f>
        <v>10.5</v>
      </c>
      <c r="AC114" s="176">
        <f>'REF_SCENARIO Costs'!AB46</f>
        <v>10.5</v>
      </c>
    </row>
    <row r="115" spans="2:29" ht="15.75" thickBot="1">
      <c r="B115" s="175"/>
      <c r="C115" s="588"/>
      <c r="D115" s="175"/>
      <c r="E115" s="175"/>
      <c r="F115" s="175"/>
      <c r="G115" s="175"/>
      <c r="H115" s="175"/>
      <c r="I115" s="175"/>
      <c r="J115" s="175"/>
      <c r="K115" s="175"/>
      <c r="L115" s="175"/>
      <c r="M115" s="175"/>
      <c r="N115" s="175"/>
      <c r="O115" s="175"/>
      <c r="P115" s="175"/>
      <c r="Q115" s="175"/>
      <c r="R115" s="175"/>
      <c r="S115" s="175"/>
      <c r="T115" s="175"/>
      <c r="U115" s="175"/>
      <c r="V115" s="175"/>
      <c r="W115" s="175"/>
      <c r="X115" s="175"/>
      <c r="Y115" s="175"/>
      <c r="Z115" s="175"/>
      <c r="AA115" s="175"/>
      <c r="AB115" s="175"/>
      <c r="AC115" s="175"/>
    </row>
    <row r="116" spans="2:29" ht="15.75" thickBot="1">
      <c r="C116" s="575" t="s">
        <v>54</v>
      </c>
      <c r="D116" s="165">
        <v>2015</v>
      </c>
      <c r="E116" s="165">
        <v>2016</v>
      </c>
      <c r="F116" s="165">
        <v>2017</v>
      </c>
      <c r="G116" s="165">
        <v>2018</v>
      </c>
      <c r="H116" s="165">
        <v>2019</v>
      </c>
      <c r="I116" s="165">
        <v>2020</v>
      </c>
      <c r="J116" s="165">
        <v>2021</v>
      </c>
      <c r="K116" s="165">
        <v>2022</v>
      </c>
      <c r="L116" s="165">
        <v>2023</v>
      </c>
      <c r="M116" s="165">
        <v>2024</v>
      </c>
      <c r="N116" s="165">
        <v>2025</v>
      </c>
      <c r="O116" s="165">
        <v>2026</v>
      </c>
      <c r="P116" s="165">
        <v>2027</v>
      </c>
      <c r="Q116" s="165">
        <v>2028</v>
      </c>
      <c r="R116" s="165">
        <v>2029</v>
      </c>
      <c r="S116" s="165">
        <v>2030</v>
      </c>
      <c r="T116" s="165">
        <v>2031</v>
      </c>
      <c r="U116" s="165">
        <v>2032</v>
      </c>
      <c r="V116" s="165">
        <v>2033</v>
      </c>
      <c r="W116" s="165">
        <v>2034</v>
      </c>
      <c r="X116" s="165">
        <v>2035</v>
      </c>
      <c r="Y116" s="165">
        <v>2036</v>
      </c>
      <c r="Z116" s="165">
        <v>2037</v>
      </c>
      <c r="AA116" s="165">
        <v>2038</v>
      </c>
      <c r="AB116" s="165">
        <v>2039</v>
      </c>
      <c r="AC116" s="165">
        <v>2040</v>
      </c>
    </row>
    <row r="117" spans="2:29">
      <c r="B117" s="440" t="s">
        <v>55</v>
      </c>
      <c r="C117" s="576"/>
      <c r="D117" s="179"/>
      <c r="E117" s="179"/>
      <c r="F117" s="179"/>
      <c r="G117" s="179"/>
      <c r="H117" s="179"/>
      <c r="I117" s="179"/>
      <c r="J117" s="179"/>
      <c r="K117" s="179"/>
      <c r="L117" s="179"/>
      <c r="M117" s="179"/>
      <c r="N117" s="179"/>
      <c r="O117" s="179"/>
      <c r="P117" s="179"/>
      <c r="Q117" s="179"/>
      <c r="R117" s="179"/>
      <c r="S117" s="179"/>
      <c r="T117" s="179"/>
      <c r="U117" s="179"/>
      <c r="V117" s="179"/>
      <c r="W117" s="179"/>
      <c r="X117" s="179"/>
      <c r="Y117" s="179"/>
      <c r="Z117" s="179"/>
      <c r="AA117" s="179"/>
      <c r="AB117" s="179"/>
      <c r="AC117" s="179"/>
    </row>
    <row r="118" spans="2:29">
      <c r="B118" s="579" t="s">
        <v>165</v>
      </c>
      <c r="C118" s="577" t="s">
        <v>161</v>
      </c>
      <c r="D118" s="177">
        <f>'REF_SCENARIO Costs'!C117</f>
        <v>15.487500000000001</v>
      </c>
      <c r="E118" s="177">
        <f>'REF_SCENARIO Costs'!D117</f>
        <v>14.4375</v>
      </c>
      <c r="F118" s="177">
        <f>'REF_SCENARIO Costs'!E117</f>
        <v>13.125</v>
      </c>
      <c r="G118" s="177">
        <f>'REF_SCENARIO Costs'!F117</f>
        <v>11.2875</v>
      </c>
      <c r="H118" s="177">
        <f>'REF_SCENARIO Costs'!G117</f>
        <v>9.1875</v>
      </c>
      <c r="I118" s="177">
        <f>'REF_SCENARIO Costs'!H117</f>
        <v>7.1400000000000006</v>
      </c>
      <c r="J118" s="177">
        <f>'REF_SCENARIO Costs'!I117</f>
        <v>6.12</v>
      </c>
      <c r="K118" s="177">
        <f>'REF_SCENARIO Costs'!J117</f>
        <v>6.12</v>
      </c>
      <c r="L118" s="177">
        <f>'REF_SCENARIO Costs'!K117</f>
        <v>6.12</v>
      </c>
      <c r="M118" s="177">
        <f>'REF_SCENARIO Costs'!L117</f>
        <v>6.12</v>
      </c>
      <c r="N118" s="177">
        <f>'REF_SCENARIO Costs'!M117</f>
        <v>6.12</v>
      </c>
      <c r="O118" s="177">
        <f>'REF_SCENARIO Costs'!N117</f>
        <v>6.12</v>
      </c>
      <c r="P118" s="177">
        <f>'REF_SCENARIO Costs'!O117</f>
        <v>6.12</v>
      </c>
      <c r="Q118" s="177">
        <f>'REF_SCENARIO Costs'!P117</f>
        <v>6.12</v>
      </c>
      <c r="R118" s="177">
        <f>'REF_SCENARIO Costs'!Q117</f>
        <v>6.12</v>
      </c>
      <c r="S118" s="177">
        <f>'REF_SCENARIO Costs'!R117</f>
        <v>6.12</v>
      </c>
      <c r="T118" s="177">
        <f>'REF_SCENARIO Costs'!S117</f>
        <v>6.12</v>
      </c>
      <c r="U118" s="177">
        <f>'REF_SCENARIO Costs'!T117</f>
        <v>6.12</v>
      </c>
      <c r="V118" s="177">
        <f>'REF_SCENARIO Costs'!U117</f>
        <v>6.12</v>
      </c>
      <c r="W118" s="177">
        <f>'REF_SCENARIO Costs'!V117</f>
        <v>6.12</v>
      </c>
      <c r="X118" s="177">
        <f>'REF_SCENARIO Costs'!W117</f>
        <v>6.12</v>
      </c>
      <c r="Y118" s="177">
        <f>'REF_SCENARIO Costs'!X117</f>
        <v>6.12</v>
      </c>
      <c r="Z118" s="177">
        <f>'REF_SCENARIO Costs'!Y117</f>
        <v>6.12</v>
      </c>
      <c r="AA118" s="177">
        <f>'REF_SCENARIO Costs'!Z117</f>
        <v>6.12</v>
      </c>
      <c r="AB118" s="177">
        <f>'REF_SCENARIO Costs'!AA117</f>
        <v>6.12</v>
      </c>
      <c r="AC118" s="177">
        <f>'REF_SCENARIO Costs'!AB117</f>
        <v>6.12</v>
      </c>
    </row>
    <row r="119" spans="2:29">
      <c r="B119" s="579" t="s">
        <v>166</v>
      </c>
      <c r="C119" s="577" t="s">
        <v>162</v>
      </c>
      <c r="D119" s="177">
        <f>'REF_SCENARIO Costs'!C118</f>
        <v>17.7</v>
      </c>
      <c r="E119" s="177">
        <f>'REF_SCENARIO Costs'!D118</f>
        <v>16.5</v>
      </c>
      <c r="F119" s="177">
        <f>'REF_SCENARIO Costs'!E118</f>
        <v>15</v>
      </c>
      <c r="G119" s="177">
        <f>'REF_SCENARIO Costs'!F118</f>
        <v>12.9</v>
      </c>
      <c r="H119" s="177">
        <f>'REF_SCENARIO Costs'!G118</f>
        <v>10.5</v>
      </c>
      <c r="I119" s="177">
        <f>'REF_SCENARIO Costs'!H118</f>
        <v>7.3500000000000005</v>
      </c>
      <c r="J119" s="177">
        <f>'REF_SCENARIO Costs'!I118</f>
        <v>6.3000000000000007</v>
      </c>
      <c r="K119" s="177">
        <f>'REF_SCENARIO Costs'!J118</f>
        <v>6.3000000000000007</v>
      </c>
      <c r="L119" s="177">
        <f>'REF_SCENARIO Costs'!K118</f>
        <v>6.3000000000000007</v>
      </c>
      <c r="M119" s="177">
        <f>'REF_SCENARIO Costs'!L118</f>
        <v>6.3000000000000007</v>
      </c>
      <c r="N119" s="177">
        <f>'REF_SCENARIO Costs'!M118</f>
        <v>6.3000000000000007</v>
      </c>
      <c r="O119" s="177">
        <f>'REF_SCENARIO Costs'!N118</f>
        <v>6.3000000000000007</v>
      </c>
      <c r="P119" s="177">
        <f>'REF_SCENARIO Costs'!O118</f>
        <v>6.3000000000000007</v>
      </c>
      <c r="Q119" s="177">
        <f>'REF_SCENARIO Costs'!P118</f>
        <v>6.3000000000000007</v>
      </c>
      <c r="R119" s="177">
        <f>'REF_SCENARIO Costs'!Q118</f>
        <v>6.3000000000000007</v>
      </c>
      <c r="S119" s="177">
        <f>'REF_SCENARIO Costs'!R118</f>
        <v>6.3000000000000007</v>
      </c>
      <c r="T119" s="177">
        <f>'REF_SCENARIO Costs'!S118</f>
        <v>6.3000000000000007</v>
      </c>
      <c r="U119" s="177">
        <f>'REF_SCENARIO Costs'!T118</f>
        <v>6.3000000000000007</v>
      </c>
      <c r="V119" s="177">
        <f>'REF_SCENARIO Costs'!U118</f>
        <v>6.3000000000000007</v>
      </c>
      <c r="W119" s="177">
        <f>'REF_SCENARIO Costs'!V118</f>
        <v>6.3000000000000007</v>
      </c>
      <c r="X119" s="177">
        <f>'REF_SCENARIO Costs'!W118</f>
        <v>6.3000000000000007</v>
      </c>
      <c r="Y119" s="177">
        <f>'REF_SCENARIO Costs'!X118</f>
        <v>6.3000000000000007</v>
      </c>
      <c r="Z119" s="177">
        <f>'REF_SCENARIO Costs'!Y118</f>
        <v>6.3000000000000007</v>
      </c>
      <c r="AA119" s="177">
        <f>'REF_SCENARIO Costs'!Z118</f>
        <v>6.3000000000000007</v>
      </c>
      <c r="AB119" s="177">
        <f>'REF_SCENARIO Costs'!AA118</f>
        <v>6.3000000000000007</v>
      </c>
      <c r="AC119" s="177">
        <f>'REF_SCENARIO Costs'!AB118</f>
        <v>6.3000000000000007</v>
      </c>
    </row>
    <row r="120" spans="2:29">
      <c r="B120" s="580" t="s">
        <v>56</v>
      </c>
      <c r="C120" s="577"/>
      <c r="D120" s="177"/>
      <c r="E120" s="177"/>
      <c r="F120" s="177"/>
      <c r="G120" s="177"/>
      <c r="H120" s="177"/>
      <c r="I120" s="177"/>
      <c r="J120" s="177"/>
      <c r="K120" s="177"/>
      <c r="L120" s="177"/>
      <c r="M120" s="177"/>
      <c r="N120" s="177"/>
      <c r="O120" s="177"/>
      <c r="P120" s="177"/>
      <c r="Q120" s="177"/>
      <c r="R120" s="177"/>
      <c r="S120" s="177"/>
      <c r="T120" s="177"/>
      <c r="U120" s="177"/>
      <c r="V120" s="177"/>
      <c r="W120" s="177"/>
      <c r="X120" s="177"/>
      <c r="Y120" s="177"/>
      <c r="Z120" s="177"/>
      <c r="AA120" s="177"/>
      <c r="AB120" s="177"/>
      <c r="AC120" s="177"/>
    </row>
    <row r="121" spans="2:29">
      <c r="B121" s="579" t="s">
        <v>168</v>
      </c>
      <c r="C121" s="577" t="s">
        <v>163</v>
      </c>
      <c r="D121" s="177">
        <f>'REF_SCENARIO Costs'!C126</f>
        <v>21.525000000000002</v>
      </c>
      <c r="E121" s="177">
        <f>'REF_SCENARIO Costs'!D126</f>
        <v>20.265000000000001</v>
      </c>
      <c r="F121" s="177">
        <f>'REF_SCENARIO Costs'!E126</f>
        <v>18.690000000000001</v>
      </c>
      <c r="G121" s="177">
        <f>'REF_SCENARIO Costs'!F126</f>
        <v>16.484999999999999</v>
      </c>
      <c r="H121" s="177">
        <f>'REF_SCENARIO Costs'!G126</f>
        <v>13.965000000000002</v>
      </c>
      <c r="I121" s="177">
        <f>'REF_SCENARIO Costs'!H126</f>
        <v>11.423999999999999</v>
      </c>
      <c r="J121" s="177">
        <f>'REF_SCENARIO Costs'!I126</f>
        <v>10.199999999999999</v>
      </c>
      <c r="K121" s="177">
        <f>'REF_SCENARIO Costs'!J126</f>
        <v>10.199999999999999</v>
      </c>
      <c r="L121" s="177">
        <f>'REF_SCENARIO Costs'!K126</f>
        <v>10.199999999999999</v>
      </c>
      <c r="M121" s="177">
        <f>'REF_SCENARIO Costs'!L126</f>
        <v>10.199999999999999</v>
      </c>
      <c r="N121" s="177">
        <f>'REF_SCENARIO Costs'!M126</f>
        <v>10.199999999999999</v>
      </c>
      <c r="O121" s="177">
        <f>'REF_SCENARIO Costs'!N126</f>
        <v>10.199999999999999</v>
      </c>
      <c r="P121" s="177">
        <f>'REF_SCENARIO Costs'!O126</f>
        <v>10.199999999999999</v>
      </c>
      <c r="Q121" s="177">
        <f>'REF_SCENARIO Costs'!P126</f>
        <v>10.199999999999999</v>
      </c>
      <c r="R121" s="177">
        <f>'REF_SCENARIO Costs'!Q126</f>
        <v>10.199999999999999</v>
      </c>
      <c r="S121" s="177">
        <f>'REF_SCENARIO Costs'!R126</f>
        <v>10.199999999999999</v>
      </c>
      <c r="T121" s="177">
        <f>'REF_SCENARIO Costs'!S126</f>
        <v>10.199999999999999</v>
      </c>
      <c r="U121" s="177">
        <f>'REF_SCENARIO Costs'!T126</f>
        <v>10.199999999999999</v>
      </c>
      <c r="V121" s="177">
        <f>'REF_SCENARIO Costs'!U126</f>
        <v>10.199999999999999</v>
      </c>
      <c r="W121" s="177">
        <f>'REF_SCENARIO Costs'!V126</f>
        <v>10.199999999999999</v>
      </c>
      <c r="X121" s="177">
        <f>'REF_SCENARIO Costs'!W126</f>
        <v>10.199999999999999</v>
      </c>
      <c r="Y121" s="177">
        <f>'REF_SCENARIO Costs'!X126</f>
        <v>10.199999999999999</v>
      </c>
      <c r="Z121" s="177">
        <f>'REF_SCENARIO Costs'!Y126</f>
        <v>10.199999999999999</v>
      </c>
      <c r="AA121" s="177">
        <f>'REF_SCENARIO Costs'!Z126</f>
        <v>10.199999999999999</v>
      </c>
      <c r="AB121" s="177">
        <f>'REF_SCENARIO Costs'!AA126</f>
        <v>10.199999999999999</v>
      </c>
      <c r="AC121" s="177">
        <f>'REF_SCENARIO Costs'!AB126</f>
        <v>10.199999999999999</v>
      </c>
    </row>
    <row r="122" spans="2:29" ht="15.75" thickBot="1">
      <c r="B122" s="581" t="s">
        <v>167</v>
      </c>
      <c r="C122" s="578" t="s">
        <v>164</v>
      </c>
      <c r="D122" s="178">
        <f>'REF_SCENARIO Costs'!C127</f>
        <v>24.599999999999998</v>
      </c>
      <c r="E122" s="178">
        <f>'REF_SCENARIO Costs'!D127</f>
        <v>23.16</v>
      </c>
      <c r="F122" s="178">
        <f>'REF_SCENARIO Costs'!E127</f>
        <v>21.36</v>
      </c>
      <c r="G122" s="178">
        <f>'REF_SCENARIO Costs'!F127</f>
        <v>18.84</v>
      </c>
      <c r="H122" s="178">
        <f>'REF_SCENARIO Costs'!G127</f>
        <v>15.96</v>
      </c>
      <c r="I122" s="178">
        <f>'REF_SCENARIO Costs'!H127</f>
        <v>11.76</v>
      </c>
      <c r="J122" s="178">
        <f>'REF_SCENARIO Costs'!I127</f>
        <v>10.5</v>
      </c>
      <c r="K122" s="178">
        <f>'REF_SCENARIO Costs'!J127</f>
        <v>10.5</v>
      </c>
      <c r="L122" s="178">
        <f>'REF_SCENARIO Costs'!K127</f>
        <v>10.5</v>
      </c>
      <c r="M122" s="178">
        <f>'REF_SCENARIO Costs'!L127</f>
        <v>10.5</v>
      </c>
      <c r="N122" s="178">
        <f>'REF_SCENARIO Costs'!M127</f>
        <v>10.5</v>
      </c>
      <c r="O122" s="178">
        <f>'REF_SCENARIO Costs'!N127</f>
        <v>10.5</v>
      </c>
      <c r="P122" s="178">
        <f>'REF_SCENARIO Costs'!O127</f>
        <v>10.5</v>
      </c>
      <c r="Q122" s="178">
        <f>'REF_SCENARIO Costs'!P127</f>
        <v>10.5</v>
      </c>
      <c r="R122" s="178">
        <f>'REF_SCENARIO Costs'!Q127</f>
        <v>10.5</v>
      </c>
      <c r="S122" s="178">
        <f>'REF_SCENARIO Costs'!R127</f>
        <v>10.5</v>
      </c>
      <c r="T122" s="178">
        <f>'REF_SCENARIO Costs'!S127</f>
        <v>10.5</v>
      </c>
      <c r="U122" s="178">
        <f>'REF_SCENARIO Costs'!T127</f>
        <v>10.5</v>
      </c>
      <c r="V122" s="178">
        <f>'REF_SCENARIO Costs'!U127</f>
        <v>10.5</v>
      </c>
      <c r="W122" s="178">
        <f>'REF_SCENARIO Costs'!V127</f>
        <v>10.5</v>
      </c>
      <c r="X122" s="178">
        <f>'REF_SCENARIO Costs'!W127</f>
        <v>10.5</v>
      </c>
      <c r="Y122" s="178">
        <f>'REF_SCENARIO Costs'!X127</f>
        <v>10.5</v>
      </c>
      <c r="Z122" s="178">
        <f>'REF_SCENARIO Costs'!Y127</f>
        <v>10.5</v>
      </c>
      <c r="AA122" s="178">
        <f>'REF_SCENARIO Costs'!Z127</f>
        <v>10.5</v>
      </c>
      <c r="AB122" s="178">
        <f>'REF_SCENARIO Costs'!AA127</f>
        <v>10.5</v>
      </c>
      <c r="AC122" s="178">
        <f>'REF_SCENARIO Costs'!AB127</f>
        <v>10.5</v>
      </c>
    </row>
  </sheetData>
  <mergeCells count="1">
    <mergeCell ref="B35:B40"/>
  </mergeCells>
  <hyperlinks>
    <hyperlink ref="J9" r:id="rId1" display="(AEA Technology, 2005)"/>
  </hyperlinks>
  <pageMargins left="0.7" right="0.7" top="0.75" bottom="0.75" header="0.3" footer="0.3"/>
  <pageSetup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BJ127"/>
  <sheetViews>
    <sheetView topLeftCell="A78" zoomScale="75" zoomScaleNormal="75" workbookViewId="0">
      <selection activeCell="C126" sqref="C126:AB127"/>
    </sheetView>
  </sheetViews>
  <sheetFormatPr defaultColWidth="12.5703125" defaultRowHeight="15"/>
  <cols>
    <col min="1" max="1" width="11" style="8" customWidth="1"/>
    <col min="2" max="2" width="71.140625" customWidth="1"/>
    <col min="3" max="3" width="19.85546875" customWidth="1"/>
    <col min="4" max="4" width="20.85546875" customWidth="1"/>
    <col min="5" max="5" width="21.5703125" customWidth="1"/>
    <col min="6" max="6" width="18.5703125" customWidth="1"/>
    <col min="7" max="7" width="26" customWidth="1"/>
    <col min="8" max="8" width="23.42578125" customWidth="1"/>
    <col min="9" max="9" width="26.42578125" customWidth="1"/>
    <col min="10" max="10" width="21.5703125" customWidth="1"/>
    <col min="11" max="11" width="19.140625" customWidth="1"/>
    <col min="12" max="12" width="30" bestFit="1" customWidth="1"/>
    <col min="13" max="13" width="31.7109375" bestFit="1" customWidth="1"/>
    <col min="14" max="14" width="34.5703125" bestFit="1" customWidth="1"/>
    <col min="15" max="15" width="27.28515625" customWidth="1"/>
    <col min="16" max="16" width="37.7109375" customWidth="1"/>
    <col min="17" max="17" width="28.140625" customWidth="1"/>
    <col min="18" max="18" width="15.28515625" customWidth="1"/>
    <col min="19" max="19" width="15" customWidth="1"/>
    <col min="20" max="20" width="20" customWidth="1"/>
    <col min="21" max="21" width="13" customWidth="1"/>
    <col min="248" max="248" width="71.140625" customWidth="1"/>
    <col min="249" max="249" width="25" customWidth="1"/>
    <col min="250" max="250" width="24.85546875" customWidth="1"/>
    <col min="251" max="251" width="29.7109375" customWidth="1"/>
    <col min="252" max="252" width="25" customWidth="1"/>
    <col min="253" max="253" width="35.28515625" customWidth="1"/>
    <col min="254" max="254" width="34.140625" customWidth="1"/>
    <col min="255" max="255" width="29.140625" customWidth="1"/>
    <col min="256" max="256" width="35.28515625" customWidth="1"/>
    <col min="257" max="257" width="23.140625" customWidth="1"/>
    <col min="504" max="504" width="71.140625" customWidth="1"/>
    <col min="505" max="505" width="25" customWidth="1"/>
    <col min="506" max="506" width="24.85546875" customWidth="1"/>
    <col min="507" max="507" width="29.7109375" customWidth="1"/>
    <col min="508" max="508" width="25" customWidth="1"/>
    <col min="509" max="509" width="35.28515625" customWidth="1"/>
    <col min="510" max="510" width="34.140625" customWidth="1"/>
    <col min="511" max="511" width="29.140625" customWidth="1"/>
    <col min="512" max="512" width="35.28515625" customWidth="1"/>
    <col min="513" max="513" width="23.140625" customWidth="1"/>
    <col min="760" max="760" width="71.140625" customWidth="1"/>
    <col min="761" max="761" width="25" customWidth="1"/>
    <col min="762" max="762" width="24.85546875" customWidth="1"/>
    <col min="763" max="763" width="29.7109375" customWidth="1"/>
    <col min="764" max="764" width="25" customWidth="1"/>
    <col min="765" max="765" width="35.28515625" customWidth="1"/>
    <col min="766" max="766" width="34.140625" customWidth="1"/>
    <col min="767" max="767" width="29.140625" customWidth="1"/>
    <col min="768" max="768" width="35.28515625" customWidth="1"/>
    <col min="769" max="769" width="23.140625" customWidth="1"/>
    <col min="1016" max="1016" width="71.140625" customWidth="1"/>
    <col min="1017" max="1017" width="25" customWidth="1"/>
    <col min="1018" max="1018" width="24.85546875" customWidth="1"/>
    <col min="1019" max="1019" width="29.7109375" customWidth="1"/>
    <col min="1020" max="1020" width="25" customWidth="1"/>
    <col min="1021" max="1021" width="35.28515625" customWidth="1"/>
    <col min="1022" max="1022" width="34.140625" customWidth="1"/>
    <col min="1023" max="1023" width="29.140625" customWidth="1"/>
    <col min="1024" max="1024" width="35.28515625" customWidth="1"/>
    <col min="1025" max="1025" width="23.140625" customWidth="1"/>
    <col min="1272" max="1272" width="71.140625" customWidth="1"/>
    <col min="1273" max="1273" width="25" customWidth="1"/>
    <col min="1274" max="1274" width="24.85546875" customWidth="1"/>
    <col min="1275" max="1275" width="29.7109375" customWidth="1"/>
    <col min="1276" max="1276" width="25" customWidth="1"/>
    <col min="1277" max="1277" width="35.28515625" customWidth="1"/>
    <col min="1278" max="1278" width="34.140625" customWidth="1"/>
    <col min="1279" max="1279" width="29.140625" customWidth="1"/>
    <col min="1280" max="1280" width="35.28515625" customWidth="1"/>
    <col min="1281" max="1281" width="23.140625" customWidth="1"/>
    <col min="1528" max="1528" width="71.140625" customWidth="1"/>
    <col min="1529" max="1529" width="25" customWidth="1"/>
    <col min="1530" max="1530" width="24.85546875" customWidth="1"/>
    <col min="1531" max="1531" width="29.7109375" customWidth="1"/>
    <col min="1532" max="1532" width="25" customWidth="1"/>
    <col min="1533" max="1533" width="35.28515625" customWidth="1"/>
    <col min="1534" max="1534" width="34.140625" customWidth="1"/>
    <col min="1535" max="1535" width="29.140625" customWidth="1"/>
    <col min="1536" max="1536" width="35.28515625" customWidth="1"/>
    <col min="1537" max="1537" width="23.140625" customWidth="1"/>
    <col min="1784" max="1784" width="71.140625" customWidth="1"/>
    <col min="1785" max="1785" width="25" customWidth="1"/>
    <col min="1786" max="1786" width="24.85546875" customWidth="1"/>
    <col min="1787" max="1787" width="29.7109375" customWidth="1"/>
    <col min="1788" max="1788" width="25" customWidth="1"/>
    <col min="1789" max="1789" width="35.28515625" customWidth="1"/>
    <col min="1790" max="1790" width="34.140625" customWidth="1"/>
    <col min="1791" max="1791" width="29.140625" customWidth="1"/>
    <col min="1792" max="1792" width="35.28515625" customWidth="1"/>
    <col min="1793" max="1793" width="23.140625" customWidth="1"/>
    <col min="2040" max="2040" width="71.140625" customWidth="1"/>
    <col min="2041" max="2041" width="25" customWidth="1"/>
    <col min="2042" max="2042" width="24.85546875" customWidth="1"/>
    <col min="2043" max="2043" width="29.7109375" customWidth="1"/>
    <col min="2044" max="2044" width="25" customWidth="1"/>
    <col min="2045" max="2045" width="35.28515625" customWidth="1"/>
    <col min="2046" max="2046" width="34.140625" customWidth="1"/>
    <col min="2047" max="2047" width="29.140625" customWidth="1"/>
    <col min="2048" max="2048" width="35.28515625" customWidth="1"/>
    <col min="2049" max="2049" width="23.140625" customWidth="1"/>
    <col min="2296" max="2296" width="71.140625" customWidth="1"/>
    <col min="2297" max="2297" width="25" customWidth="1"/>
    <col min="2298" max="2298" width="24.85546875" customWidth="1"/>
    <col min="2299" max="2299" width="29.7109375" customWidth="1"/>
    <col min="2300" max="2300" width="25" customWidth="1"/>
    <col min="2301" max="2301" width="35.28515625" customWidth="1"/>
    <col min="2302" max="2302" width="34.140625" customWidth="1"/>
    <col min="2303" max="2303" width="29.140625" customWidth="1"/>
    <col min="2304" max="2304" width="35.28515625" customWidth="1"/>
    <col min="2305" max="2305" width="23.140625" customWidth="1"/>
    <col min="2552" max="2552" width="71.140625" customWidth="1"/>
    <col min="2553" max="2553" width="25" customWidth="1"/>
    <col min="2554" max="2554" width="24.85546875" customWidth="1"/>
    <col min="2555" max="2555" width="29.7109375" customWidth="1"/>
    <col min="2556" max="2556" width="25" customWidth="1"/>
    <col min="2557" max="2557" width="35.28515625" customWidth="1"/>
    <col min="2558" max="2558" width="34.140625" customWidth="1"/>
    <col min="2559" max="2559" width="29.140625" customWidth="1"/>
    <col min="2560" max="2560" width="35.28515625" customWidth="1"/>
    <col min="2561" max="2561" width="23.140625" customWidth="1"/>
    <col min="2808" max="2808" width="71.140625" customWidth="1"/>
    <col min="2809" max="2809" width="25" customWidth="1"/>
    <col min="2810" max="2810" width="24.85546875" customWidth="1"/>
    <col min="2811" max="2811" width="29.7109375" customWidth="1"/>
    <col min="2812" max="2812" width="25" customWidth="1"/>
    <col min="2813" max="2813" width="35.28515625" customWidth="1"/>
    <col min="2814" max="2814" width="34.140625" customWidth="1"/>
    <col min="2815" max="2815" width="29.140625" customWidth="1"/>
    <col min="2816" max="2816" width="35.28515625" customWidth="1"/>
    <col min="2817" max="2817" width="23.140625" customWidth="1"/>
    <col min="3064" max="3064" width="71.140625" customWidth="1"/>
    <col min="3065" max="3065" width="25" customWidth="1"/>
    <col min="3066" max="3066" width="24.85546875" customWidth="1"/>
    <col min="3067" max="3067" width="29.7109375" customWidth="1"/>
    <col min="3068" max="3068" width="25" customWidth="1"/>
    <col min="3069" max="3069" width="35.28515625" customWidth="1"/>
    <col min="3070" max="3070" width="34.140625" customWidth="1"/>
    <col min="3071" max="3071" width="29.140625" customWidth="1"/>
    <col min="3072" max="3072" width="35.28515625" customWidth="1"/>
    <col min="3073" max="3073" width="23.140625" customWidth="1"/>
    <col min="3320" max="3320" width="71.140625" customWidth="1"/>
    <col min="3321" max="3321" width="25" customWidth="1"/>
    <col min="3322" max="3322" width="24.85546875" customWidth="1"/>
    <col min="3323" max="3323" width="29.7109375" customWidth="1"/>
    <col min="3324" max="3324" width="25" customWidth="1"/>
    <col min="3325" max="3325" width="35.28515625" customWidth="1"/>
    <col min="3326" max="3326" width="34.140625" customWidth="1"/>
    <col min="3327" max="3327" width="29.140625" customWidth="1"/>
    <col min="3328" max="3328" width="35.28515625" customWidth="1"/>
    <col min="3329" max="3329" width="23.140625" customWidth="1"/>
    <col min="3576" max="3576" width="71.140625" customWidth="1"/>
    <col min="3577" max="3577" width="25" customWidth="1"/>
    <col min="3578" max="3578" width="24.85546875" customWidth="1"/>
    <col min="3579" max="3579" width="29.7109375" customWidth="1"/>
    <col min="3580" max="3580" width="25" customWidth="1"/>
    <col min="3581" max="3581" width="35.28515625" customWidth="1"/>
    <col min="3582" max="3582" width="34.140625" customWidth="1"/>
    <col min="3583" max="3583" width="29.140625" customWidth="1"/>
    <col min="3584" max="3584" width="35.28515625" customWidth="1"/>
    <col min="3585" max="3585" width="23.140625" customWidth="1"/>
    <col min="3832" max="3832" width="71.140625" customWidth="1"/>
    <col min="3833" max="3833" width="25" customWidth="1"/>
    <col min="3834" max="3834" width="24.85546875" customWidth="1"/>
    <col min="3835" max="3835" width="29.7109375" customWidth="1"/>
    <col min="3836" max="3836" width="25" customWidth="1"/>
    <col min="3837" max="3837" width="35.28515625" customWidth="1"/>
    <col min="3838" max="3838" width="34.140625" customWidth="1"/>
    <col min="3839" max="3839" width="29.140625" customWidth="1"/>
    <col min="3840" max="3840" width="35.28515625" customWidth="1"/>
    <col min="3841" max="3841" width="23.140625" customWidth="1"/>
    <col min="4088" max="4088" width="71.140625" customWidth="1"/>
    <col min="4089" max="4089" width="25" customWidth="1"/>
    <col min="4090" max="4090" width="24.85546875" customWidth="1"/>
    <col min="4091" max="4091" width="29.7109375" customWidth="1"/>
    <col min="4092" max="4092" width="25" customWidth="1"/>
    <col min="4093" max="4093" width="35.28515625" customWidth="1"/>
    <col min="4094" max="4094" width="34.140625" customWidth="1"/>
    <col min="4095" max="4095" width="29.140625" customWidth="1"/>
    <col min="4096" max="4096" width="35.28515625" customWidth="1"/>
    <col min="4097" max="4097" width="23.140625" customWidth="1"/>
    <col min="4344" max="4344" width="71.140625" customWidth="1"/>
    <col min="4345" max="4345" width="25" customWidth="1"/>
    <col min="4346" max="4346" width="24.85546875" customWidth="1"/>
    <col min="4347" max="4347" width="29.7109375" customWidth="1"/>
    <col min="4348" max="4348" width="25" customWidth="1"/>
    <col min="4349" max="4349" width="35.28515625" customWidth="1"/>
    <col min="4350" max="4350" width="34.140625" customWidth="1"/>
    <col min="4351" max="4351" width="29.140625" customWidth="1"/>
    <col min="4352" max="4352" width="35.28515625" customWidth="1"/>
    <col min="4353" max="4353" width="23.140625" customWidth="1"/>
    <col min="4600" max="4600" width="71.140625" customWidth="1"/>
    <col min="4601" max="4601" width="25" customWidth="1"/>
    <col min="4602" max="4602" width="24.85546875" customWidth="1"/>
    <col min="4603" max="4603" width="29.7109375" customWidth="1"/>
    <col min="4604" max="4604" width="25" customWidth="1"/>
    <col min="4605" max="4605" width="35.28515625" customWidth="1"/>
    <col min="4606" max="4606" width="34.140625" customWidth="1"/>
    <col min="4607" max="4607" width="29.140625" customWidth="1"/>
    <col min="4608" max="4608" width="35.28515625" customWidth="1"/>
    <col min="4609" max="4609" width="23.140625" customWidth="1"/>
    <col min="4856" max="4856" width="71.140625" customWidth="1"/>
    <col min="4857" max="4857" width="25" customWidth="1"/>
    <col min="4858" max="4858" width="24.85546875" customWidth="1"/>
    <col min="4859" max="4859" width="29.7109375" customWidth="1"/>
    <col min="4860" max="4860" width="25" customWidth="1"/>
    <col min="4861" max="4861" width="35.28515625" customWidth="1"/>
    <col min="4862" max="4862" width="34.140625" customWidth="1"/>
    <col min="4863" max="4863" width="29.140625" customWidth="1"/>
    <col min="4864" max="4864" width="35.28515625" customWidth="1"/>
    <col min="4865" max="4865" width="23.140625" customWidth="1"/>
    <col min="5112" max="5112" width="71.140625" customWidth="1"/>
    <col min="5113" max="5113" width="25" customWidth="1"/>
    <col min="5114" max="5114" width="24.85546875" customWidth="1"/>
    <col min="5115" max="5115" width="29.7109375" customWidth="1"/>
    <col min="5116" max="5116" width="25" customWidth="1"/>
    <col min="5117" max="5117" width="35.28515625" customWidth="1"/>
    <col min="5118" max="5118" width="34.140625" customWidth="1"/>
    <col min="5119" max="5119" width="29.140625" customWidth="1"/>
    <col min="5120" max="5120" width="35.28515625" customWidth="1"/>
    <col min="5121" max="5121" width="23.140625" customWidth="1"/>
    <col min="5368" max="5368" width="71.140625" customWidth="1"/>
    <col min="5369" max="5369" width="25" customWidth="1"/>
    <col min="5370" max="5370" width="24.85546875" customWidth="1"/>
    <col min="5371" max="5371" width="29.7109375" customWidth="1"/>
    <col min="5372" max="5372" width="25" customWidth="1"/>
    <col min="5373" max="5373" width="35.28515625" customWidth="1"/>
    <col min="5374" max="5374" width="34.140625" customWidth="1"/>
    <col min="5375" max="5375" width="29.140625" customWidth="1"/>
    <col min="5376" max="5376" width="35.28515625" customWidth="1"/>
    <col min="5377" max="5377" width="23.140625" customWidth="1"/>
    <col min="5624" max="5624" width="71.140625" customWidth="1"/>
    <col min="5625" max="5625" width="25" customWidth="1"/>
    <col min="5626" max="5626" width="24.85546875" customWidth="1"/>
    <col min="5627" max="5627" width="29.7109375" customWidth="1"/>
    <col min="5628" max="5628" width="25" customWidth="1"/>
    <col min="5629" max="5629" width="35.28515625" customWidth="1"/>
    <col min="5630" max="5630" width="34.140625" customWidth="1"/>
    <col min="5631" max="5631" width="29.140625" customWidth="1"/>
    <col min="5632" max="5632" width="35.28515625" customWidth="1"/>
    <col min="5633" max="5633" width="23.140625" customWidth="1"/>
    <col min="5880" max="5880" width="71.140625" customWidth="1"/>
    <col min="5881" max="5881" width="25" customWidth="1"/>
    <col min="5882" max="5882" width="24.85546875" customWidth="1"/>
    <col min="5883" max="5883" width="29.7109375" customWidth="1"/>
    <col min="5884" max="5884" width="25" customWidth="1"/>
    <col min="5885" max="5885" width="35.28515625" customWidth="1"/>
    <col min="5886" max="5886" width="34.140625" customWidth="1"/>
    <col min="5887" max="5887" width="29.140625" customWidth="1"/>
    <col min="5888" max="5888" width="35.28515625" customWidth="1"/>
    <col min="5889" max="5889" width="23.140625" customWidth="1"/>
    <col min="6136" max="6136" width="71.140625" customWidth="1"/>
    <col min="6137" max="6137" width="25" customWidth="1"/>
    <col min="6138" max="6138" width="24.85546875" customWidth="1"/>
    <col min="6139" max="6139" width="29.7109375" customWidth="1"/>
    <col min="6140" max="6140" width="25" customWidth="1"/>
    <col min="6141" max="6141" width="35.28515625" customWidth="1"/>
    <col min="6142" max="6142" width="34.140625" customWidth="1"/>
    <col min="6143" max="6143" width="29.140625" customWidth="1"/>
    <col min="6144" max="6144" width="35.28515625" customWidth="1"/>
    <col min="6145" max="6145" width="23.140625" customWidth="1"/>
    <col min="6392" max="6392" width="71.140625" customWidth="1"/>
    <col min="6393" max="6393" width="25" customWidth="1"/>
    <col min="6394" max="6394" width="24.85546875" customWidth="1"/>
    <col min="6395" max="6395" width="29.7109375" customWidth="1"/>
    <col min="6396" max="6396" width="25" customWidth="1"/>
    <col min="6397" max="6397" width="35.28515625" customWidth="1"/>
    <col min="6398" max="6398" width="34.140625" customWidth="1"/>
    <col min="6399" max="6399" width="29.140625" customWidth="1"/>
    <col min="6400" max="6400" width="35.28515625" customWidth="1"/>
    <col min="6401" max="6401" width="23.140625" customWidth="1"/>
    <col min="6648" max="6648" width="71.140625" customWidth="1"/>
    <col min="6649" max="6649" width="25" customWidth="1"/>
    <col min="6650" max="6650" width="24.85546875" customWidth="1"/>
    <col min="6651" max="6651" width="29.7109375" customWidth="1"/>
    <col min="6652" max="6652" width="25" customWidth="1"/>
    <col min="6653" max="6653" width="35.28515625" customWidth="1"/>
    <col min="6654" max="6654" width="34.140625" customWidth="1"/>
    <col min="6655" max="6655" width="29.140625" customWidth="1"/>
    <col min="6656" max="6656" width="35.28515625" customWidth="1"/>
    <col min="6657" max="6657" width="23.140625" customWidth="1"/>
    <col min="6904" max="6904" width="71.140625" customWidth="1"/>
    <col min="6905" max="6905" width="25" customWidth="1"/>
    <col min="6906" max="6906" width="24.85546875" customWidth="1"/>
    <col min="6907" max="6907" width="29.7109375" customWidth="1"/>
    <col min="6908" max="6908" width="25" customWidth="1"/>
    <col min="6909" max="6909" width="35.28515625" customWidth="1"/>
    <col min="6910" max="6910" width="34.140625" customWidth="1"/>
    <col min="6911" max="6911" width="29.140625" customWidth="1"/>
    <col min="6912" max="6912" width="35.28515625" customWidth="1"/>
    <col min="6913" max="6913" width="23.140625" customWidth="1"/>
    <col min="7160" max="7160" width="71.140625" customWidth="1"/>
    <col min="7161" max="7161" width="25" customWidth="1"/>
    <col min="7162" max="7162" width="24.85546875" customWidth="1"/>
    <col min="7163" max="7163" width="29.7109375" customWidth="1"/>
    <col min="7164" max="7164" width="25" customWidth="1"/>
    <col min="7165" max="7165" width="35.28515625" customWidth="1"/>
    <col min="7166" max="7166" width="34.140625" customWidth="1"/>
    <col min="7167" max="7167" width="29.140625" customWidth="1"/>
    <col min="7168" max="7168" width="35.28515625" customWidth="1"/>
    <col min="7169" max="7169" width="23.140625" customWidth="1"/>
    <col min="7416" max="7416" width="71.140625" customWidth="1"/>
    <col min="7417" max="7417" width="25" customWidth="1"/>
    <col min="7418" max="7418" width="24.85546875" customWidth="1"/>
    <col min="7419" max="7419" width="29.7109375" customWidth="1"/>
    <col min="7420" max="7420" width="25" customWidth="1"/>
    <col min="7421" max="7421" width="35.28515625" customWidth="1"/>
    <col min="7422" max="7422" width="34.140625" customWidth="1"/>
    <col min="7423" max="7423" width="29.140625" customWidth="1"/>
    <col min="7424" max="7424" width="35.28515625" customWidth="1"/>
    <col min="7425" max="7425" width="23.140625" customWidth="1"/>
    <col min="7672" max="7672" width="71.140625" customWidth="1"/>
    <col min="7673" max="7673" width="25" customWidth="1"/>
    <col min="7674" max="7674" width="24.85546875" customWidth="1"/>
    <col min="7675" max="7675" width="29.7109375" customWidth="1"/>
    <col min="7676" max="7676" width="25" customWidth="1"/>
    <col min="7677" max="7677" width="35.28515625" customWidth="1"/>
    <col min="7678" max="7678" width="34.140625" customWidth="1"/>
    <col min="7679" max="7679" width="29.140625" customWidth="1"/>
    <col min="7680" max="7680" width="35.28515625" customWidth="1"/>
    <col min="7681" max="7681" width="23.140625" customWidth="1"/>
    <col min="7928" max="7928" width="71.140625" customWidth="1"/>
    <col min="7929" max="7929" width="25" customWidth="1"/>
    <col min="7930" max="7930" width="24.85546875" customWidth="1"/>
    <col min="7931" max="7931" width="29.7109375" customWidth="1"/>
    <col min="7932" max="7932" width="25" customWidth="1"/>
    <col min="7933" max="7933" width="35.28515625" customWidth="1"/>
    <col min="7934" max="7934" width="34.140625" customWidth="1"/>
    <col min="7935" max="7935" width="29.140625" customWidth="1"/>
    <col min="7936" max="7936" width="35.28515625" customWidth="1"/>
    <col min="7937" max="7937" width="23.140625" customWidth="1"/>
    <col min="8184" max="8184" width="71.140625" customWidth="1"/>
    <col min="8185" max="8185" width="25" customWidth="1"/>
    <col min="8186" max="8186" width="24.85546875" customWidth="1"/>
    <col min="8187" max="8187" width="29.7109375" customWidth="1"/>
    <col min="8188" max="8188" width="25" customWidth="1"/>
    <col min="8189" max="8189" width="35.28515625" customWidth="1"/>
    <col min="8190" max="8190" width="34.140625" customWidth="1"/>
    <col min="8191" max="8191" width="29.140625" customWidth="1"/>
    <col min="8192" max="8192" width="35.28515625" customWidth="1"/>
    <col min="8193" max="8193" width="23.140625" customWidth="1"/>
    <col min="8440" max="8440" width="71.140625" customWidth="1"/>
    <col min="8441" max="8441" width="25" customWidth="1"/>
    <col min="8442" max="8442" width="24.85546875" customWidth="1"/>
    <col min="8443" max="8443" width="29.7109375" customWidth="1"/>
    <col min="8444" max="8444" width="25" customWidth="1"/>
    <col min="8445" max="8445" width="35.28515625" customWidth="1"/>
    <col min="8446" max="8446" width="34.140625" customWidth="1"/>
    <col min="8447" max="8447" width="29.140625" customWidth="1"/>
    <col min="8448" max="8448" width="35.28515625" customWidth="1"/>
    <col min="8449" max="8449" width="23.140625" customWidth="1"/>
    <col min="8696" max="8696" width="71.140625" customWidth="1"/>
    <col min="8697" max="8697" width="25" customWidth="1"/>
    <col min="8698" max="8698" width="24.85546875" customWidth="1"/>
    <col min="8699" max="8699" width="29.7109375" customWidth="1"/>
    <col min="8700" max="8700" width="25" customWidth="1"/>
    <col min="8701" max="8701" width="35.28515625" customWidth="1"/>
    <col min="8702" max="8702" width="34.140625" customWidth="1"/>
    <col min="8703" max="8703" width="29.140625" customWidth="1"/>
    <col min="8704" max="8704" width="35.28515625" customWidth="1"/>
    <col min="8705" max="8705" width="23.140625" customWidth="1"/>
    <col min="8952" max="8952" width="71.140625" customWidth="1"/>
    <col min="8953" max="8953" width="25" customWidth="1"/>
    <col min="8954" max="8954" width="24.85546875" customWidth="1"/>
    <col min="8955" max="8955" width="29.7109375" customWidth="1"/>
    <col min="8956" max="8956" width="25" customWidth="1"/>
    <col min="8957" max="8957" width="35.28515625" customWidth="1"/>
    <col min="8958" max="8958" width="34.140625" customWidth="1"/>
    <col min="8959" max="8959" width="29.140625" customWidth="1"/>
    <col min="8960" max="8960" width="35.28515625" customWidth="1"/>
    <col min="8961" max="8961" width="23.140625" customWidth="1"/>
    <col min="9208" max="9208" width="71.140625" customWidth="1"/>
    <col min="9209" max="9209" width="25" customWidth="1"/>
    <col min="9210" max="9210" width="24.85546875" customWidth="1"/>
    <col min="9211" max="9211" width="29.7109375" customWidth="1"/>
    <col min="9212" max="9212" width="25" customWidth="1"/>
    <col min="9213" max="9213" width="35.28515625" customWidth="1"/>
    <col min="9214" max="9214" width="34.140625" customWidth="1"/>
    <col min="9215" max="9215" width="29.140625" customWidth="1"/>
    <col min="9216" max="9216" width="35.28515625" customWidth="1"/>
    <col min="9217" max="9217" width="23.140625" customWidth="1"/>
    <col min="9464" max="9464" width="71.140625" customWidth="1"/>
    <col min="9465" max="9465" width="25" customWidth="1"/>
    <col min="9466" max="9466" width="24.85546875" customWidth="1"/>
    <col min="9467" max="9467" width="29.7109375" customWidth="1"/>
    <col min="9468" max="9468" width="25" customWidth="1"/>
    <col min="9469" max="9469" width="35.28515625" customWidth="1"/>
    <col min="9470" max="9470" width="34.140625" customWidth="1"/>
    <col min="9471" max="9471" width="29.140625" customWidth="1"/>
    <col min="9472" max="9472" width="35.28515625" customWidth="1"/>
    <col min="9473" max="9473" width="23.140625" customWidth="1"/>
    <col min="9720" max="9720" width="71.140625" customWidth="1"/>
    <col min="9721" max="9721" width="25" customWidth="1"/>
    <col min="9722" max="9722" width="24.85546875" customWidth="1"/>
    <col min="9723" max="9723" width="29.7109375" customWidth="1"/>
    <col min="9724" max="9724" width="25" customWidth="1"/>
    <col min="9725" max="9725" width="35.28515625" customWidth="1"/>
    <col min="9726" max="9726" width="34.140625" customWidth="1"/>
    <col min="9727" max="9727" width="29.140625" customWidth="1"/>
    <col min="9728" max="9728" width="35.28515625" customWidth="1"/>
    <col min="9729" max="9729" width="23.140625" customWidth="1"/>
    <col min="9976" max="9976" width="71.140625" customWidth="1"/>
    <col min="9977" max="9977" width="25" customWidth="1"/>
    <col min="9978" max="9978" width="24.85546875" customWidth="1"/>
    <col min="9979" max="9979" width="29.7109375" customWidth="1"/>
    <col min="9980" max="9980" width="25" customWidth="1"/>
    <col min="9981" max="9981" width="35.28515625" customWidth="1"/>
    <col min="9982" max="9982" width="34.140625" customWidth="1"/>
    <col min="9983" max="9983" width="29.140625" customWidth="1"/>
    <col min="9984" max="9984" width="35.28515625" customWidth="1"/>
    <col min="9985" max="9985" width="23.140625" customWidth="1"/>
    <col min="10232" max="10232" width="71.140625" customWidth="1"/>
    <col min="10233" max="10233" width="25" customWidth="1"/>
    <col min="10234" max="10234" width="24.85546875" customWidth="1"/>
    <col min="10235" max="10235" width="29.7109375" customWidth="1"/>
    <col min="10236" max="10236" width="25" customWidth="1"/>
    <col min="10237" max="10237" width="35.28515625" customWidth="1"/>
    <col min="10238" max="10238" width="34.140625" customWidth="1"/>
    <col min="10239" max="10239" width="29.140625" customWidth="1"/>
    <col min="10240" max="10240" width="35.28515625" customWidth="1"/>
    <col min="10241" max="10241" width="23.140625" customWidth="1"/>
    <col min="10488" max="10488" width="71.140625" customWidth="1"/>
    <col min="10489" max="10489" width="25" customWidth="1"/>
    <col min="10490" max="10490" width="24.85546875" customWidth="1"/>
    <col min="10491" max="10491" width="29.7109375" customWidth="1"/>
    <col min="10492" max="10492" width="25" customWidth="1"/>
    <col min="10493" max="10493" width="35.28515625" customWidth="1"/>
    <col min="10494" max="10494" width="34.140625" customWidth="1"/>
    <col min="10495" max="10495" width="29.140625" customWidth="1"/>
    <col min="10496" max="10496" width="35.28515625" customWidth="1"/>
    <col min="10497" max="10497" width="23.140625" customWidth="1"/>
    <col min="10744" max="10744" width="71.140625" customWidth="1"/>
    <col min="10745" max="10745" width="25" customWidth="1"/>
    <col min="10746" max="10746" width="24.85546875" customWidth="1"/>
    <col min="10747" max="10747" width="29.7109375" customWidth="1"/>
    <col min="10748" max="10748" width="25" customWidth="1"/>
    <col min="10749" max="10749" width="35.28515625" customWidth="1"/>
    <col min="10750" max="10750" width="34.140625" customWidth="1"/>
    <col min="10751" max="10751" width="29.140625" customWidth="1"/>
    <col min="10752" max="10752" width="35.28515625" customWidth="1"/>
    <col min="10753" max="10753" width="23.140625" customWidth="1"/>
    <col min="11000" max="11000" width="71.140625" customWidth="1"/>
    <col min="11001" max="11001" width="25" customWidth="1"/>
    <col min="11002" max="11002" width="24.85546875" customWidth="1"/>
    <col min="11003" max="11003" width="29.7109375" customWidth="1"/>
    <col min="11004" max="11004" width="25" customWidth="1"/>
    <col min="11005" max="11005" width="35.28515625" customWidth="1"/>
    <col min="11006" max="11006" width="34.140625" customWidth="1"/>
    <col min="11007" max="11007" width="29.140625" customWidth="1"/>
    <col min="11008" max="11008" width="35.28515625" customWidth="1"/>
    <col min="11009" max="11009" width="23.140625" customWidth="1"/>
    <col min="11256" max="11256" width="71.140625" customWidth="1"/>
    <col min="11257" max="11257" width="25" customWidth="1"/>
    <col min="11258" max="11258" width="24.85546875" customWidth="1"/>
    <col min="11259" max="11259" width="29.7109375" customWidth="1"/>
    <col min="11260" max="11260" width="25" customWidth="1"/>
    <col min="11261" max="11261" width="35.28515625" customWidth="1"/>
    <col min="11262" max="11262" width="34.140625" customWidth="1"/>
    <col min="11263" max="11263" width="29.140625" customWidth="1"/>
    <col min="11264" max="11264" width="35.28515625" customWidth="1"/>
    <col min="11265" max="11265" width="23.140625" customWidth="1"/>
    <col min="11512" max="11512" width="71.140625" customWidth="1"/>
    <col min="11513" max="11513" width="25" customWidth="1"/>
    <col min="11514" max="11514" width="24.85546875" customWidth="1"/>
    <col min="11515" max="11515" width="29.7109375" customWidth="1"/>
    <col min="11516" max="11516" width="25" customWidth="1"/>
    <col min="11517" max="11517" width="35.28515625" customWidth="1"/>
    <col min="11518" max="11518" width="34.140625" customWidth="1"/>
    <col min="11519" max="11519" width="29.140625" customWidth="1"/>
    <col min="11520" max="11520" width="35.28515625" customWidth="1"/>
    <col min="11521" max="11521" width="23.140625" customWidth="1"/>
    <col min="11768" max="11768" width="71.140625" customWidth="1"/>
    <col min="11769" max="11769" width="25" customWidth="1"/>
    <col min="11770" max="11770" width="24.85546875" customWidth="1"/>
    <col min="11771" max="11771" width="29.7109375" customWidth="1"/>
    <col min="11772" max="11772" width="25" customWidth="1"/>
    <col min="11773" max="11773" width="35.28515625" customWidth="1"/>
    <col min="11774" max="11774" width="34.140625" customWidth="1"/>
    <col min="11775" max="11775" width="29.140625" customWidth="1"/>
    <col min="11776" max="11776" width="35.28515625" customWidth="1"/>
    <col min="11777" max="11777" width="23.140625" customWidth="1"/>
    <col min="12024" max="12024" width="71.140625" customWidth="1"/>
    <col min="12025" max="12025" width="25" customWidth="1"/>
    <col min="12026" max="12026" width="24.85546875" customWidth="1"/>
    <col min="12027" max="12027" width="29.7109375" customWidth="1"/>
    <col min="12028" max="12028" width="25" customWidth="1"/>
    <col min="12029" max="12029" width="35.28515625" customWidth="1"/>
    <col min="12030" max="12030" width="34.140625" customWidth="1"/>
    <col min="12031" max="12031" width="29.140625" customWidth="1"/>
    <col min="12032" max="12032" width="35.28515625" customWidth="1"/>
    <col min="12033" max="12033" width="23.140625" customWidth="1"/>
    <col min="12280" max="12280" width="71.140625" customWidth="1"/>
    <col min="12281" max="12281" width="25" customWidth="1"/>
    <col min="12282" max="12282" width="24.85546875" customWidth="1"/>
    <col min="12283" max="12283" width="29.7109375" customWidth="1"/>
    <col min="12284" max="12284" width="25" customWidth="1"/>
    <col min="12285" max="12285" width="35.28515625" customWidth="1"/>
    <col min="12286" max="12286" width="34.140625" customWidth="1"/>
    <col min="12287" max="12287" width="29.140625" customWidth="1"/>
    <col min="12288" max="12288" width="35.28515625" customWidth="1"/>
    <col min="12289" max="12289" width="23.140625" customWidth="1"/>
    <col min="12536" max="12536" width="71.140625" customWidth="1"/>
    <col min="12537" max="12537" width="25" customWidth="1"/>
    <col min="12538" max="12538" width="24.85546875" customWidth="1"/>
    <col min="12539" max="12539" width="29.7109375" customWidth="1"/>
    <col min="12540" max="12540" width="25" customWidth="1"/>
    <col min="12541" max="12541" width="35.28515625" customWidth="1"/>
    <col min="12542" max="12542" width="34.140625" customWidth="1"/>
    <col min="12543" max="12543" width="29.140625" customWidth="1"/>
    <col min="12544" max="12544" width="35.28515625" customWidth="1"/>
    <col min="12545" max="12545" width="23.140625" customWidth="1"/>
    <col min="12792" max="12792" width="71.140625" customWidth="1"/>
    <col min="12793" max="12793" width="25" customWidth="1"/>
    <col min="12794" max="12794" width="24.85546875" customWidth="1"/>
    <col min="12795" max="12795" width="29.7109375" customWidth="1"/>
    <col min="12796" max="12796" width="25" customWidth="1"/>
    <col min="12797" max="12797" width="35.28515625" customWidth="1"/>
    <col min="12798" max="12798" width="34.140625" customWidth="1"/>
    <col min="12799" max="12799" width="29.140625" customWidth="1"/>
    <col min="12800" max="12800" width="35.28515625" customWidth="1"/>
    <col min="12801" max="12801" width="23.140625" customWidth="1"/>
    <col min="13048" max="13048" width="71.140625" customWidth="1"/>
    <col min="13049" max="13049" width="25" customWidth="1"/>
    <col min="13050" max="13050" width="24.85546875" customWidth="1"/>
    <col min="13051" max="13051" width="29.7109375" customWidth="1"/>
    <col min="13052" max="13052" width="25" customWidth="1"/>
    <col min="13053" max="13053" width="35.28515625" customWidth="1"/>
    <col min="13054" max="13054" width="34.140625" customWidth="1"/>
    <col min="13055" max="13055" width="29.140625" customWidth="1"/>
    <col min="13056" max="13056" width="35.28515625" customWidth="1"/>
    <col min="13057" max="13057" width="23.140625" customWidth="1"/>
    <col min="13304" max="13304" width="71.140625" customWidth="1"/>
    <col min="13305" max="13305" width="25" customWidth="1"/>
    <col min="13306" max="13306" width="24.85546875" customWidth="1"/>
    <col min="13307" max="13307" width="29.7109375" customWidth="1"/>
    <col min="13308" max="13308" width="25" customWidth="1"/>
    <col min="13309" max="13309" width="35.28515625" customWidth="1"/>
    <col min="13310" max="13310" width="34.140625" customWidth="1"/>
    <col min="13311" max="13311" width="29.140625" customWidth="1"/>
    <col min="13312" max="13312" width="35.28515625" customWidth="1"/>
    <col min="13313" max="13313" width="23.140625" customWidth="1"/>
    <col min="13560" max="13560" width="71.140625" customWidth="1"/>
    <col min="13561" max="13561" width="25" customWidth="1"/>
    <col min="13562" max="13562" width="24.85546875" customWidth="1"/>
    <col min="13563" max="13563" width="29.7109375" customWidth="1"/>
    <col min="13564" max="13564" width="25" customWidth="1"/>
    <col min="13565" max="13565" width="35.28515625" customWidth="1"/>
    <col min="13566" max="13566" width="34.140625" customWidth="1"/>
    <col min="13567" max="13567" width="29.140625" customWidth="1"/>
    <col min="13568" max="13568" width="35.28515625" customWidth="1"/>
    <col min="13569" max="13569" width="23.140625" customWidth="1"/>
    <col min="13816" max="13816" width="71.140625" customWidth="1"/>
    <col min="13817" max="13817" width="25" customWidth="1"/>
    <col min="13818" max="13818" width="24.85546875" customWidth="1"/>
    <col min="13819" max="13819" width="29.7109375" customWidth="1"/>
    <col min="13820" max="13820" width="25" customWidth="1"/>
    <col min="13821" max="13821" width="35.28515625" customWidth="1"/>
    <col min="13822" max="13822" width="34.140625" customWidth="1"/>
    <col min="13823" max="13823" width="29.140625" customWidth="1"/>
    <col min="13824" max="13824" width="35.28515625" customWidth="1"/>
    <col min="13825" max="13825" width="23.140625" customWidth="1"/>
    <col min="14072" max="14072" width="71.140625" customWidth="1"/>
    <col min="14073" max="14073" width="25" customWidth="1"/>
    <col min="14074" max="14074" width="24.85546875" customWidth="1"/>
    <col min="14075" max="14075" width="29.7109375" customWidth="1"/>
    <col min="14076" max="14076" width="25" customWidth="1"/>
    <col min="14077" max="14077" width="35.28515625" customWidth="1"/>
    <col min="14078" max="14078" width="34.140625" customWidth="1"/>
    <col min="14079" max="14079" width="29.140625" customWidth="1"/>
    <col min="14080" max="14080" width="35.28515625" customWidth="1"/>
    <col min="14081" max="14081" width="23.140625" customWidth="1"/>
    <col min="14328" max="14328" width="71.140625" customWidth="1"/>
    <col min="14329" max="14329" width="25" customWidth="1"/>
    <col min="14330" max="14330" width="24.85546875" customWidth="1"/>
    <col min="14331" max="14331" width="29.7109375" customWidth="1"/>
    <col min="14332" max="14332" width="25" customWidth="1"/>
    <col min="14333" max="14333" width="35.28515625" customWidth="1"/>
    <col min="14334" max="14334" width="34.140625" customWidth="1"/>
    <col min="14335" max="14335" width="29.140625" customWidth="1"/>
    <col min="14336" max="14336" width="35.28515625" customWidth="1"/>
    <col min="14337" max="14337" width="23.140625" customWidth="1"/>
    <col min="14584" max="14584" width="71.140625" customWidth="1"/>
    <col min="14585" max="14585" width="25" customWidth="1"/>
    <col min="14586" max="14586" width="24.85546875" customWidth="1"/>
    <col min="14587" max="14587" width="29.7109375" customWidth="1"/>
    <col min="14588" max="14588" width="25" customWidth="1"/>
    <col min="14589" max="14589" width="35.28515625" customWidth="1"/>
    <col min="14590" max="14590" width="34.140625" customWidth="1"/>
    <col min="14591" max="14591" width="29.140625" customWidth="1"/>
    <col min="14592" max="14592" width="35.28515625" customWidth="1"/>
    <col min="14593" max="14593" width="23.140625" customWidth="1"/>
    <col min="14840" max="14840" width="71.140625" customWidth="1"/>
    <col min="14841" max="14841" width="25" customWidth="1"/>
    <col min="14842" max="14842" width="24.85546875" customWidth="1"/>
    <col min="14843" max="14843" width="29.7109375" customWidth="1"/>
    <col min="14844" max="14844" width="25" customWidth="1"/>
    <col min="14845" max="14845" width="35.28515625" customWidth="1"/>
    <col min="14846" max="14846" width="34.140625" customWidth="1"/>
    <col min="14847" max="14847" width="29.140625" customWidth="1"/>
    <col min="14848" max="14848" width="35.28515625" customWidth="1"/>
    <col min="14849" max="14849" width="23.140625" customWidth="1"/>
    <col min="15096" max="15096" width="71.140625" customWidth="1"/>
    <col min="15097" max="15097" width="25" customWidth="1"/>
    <col min="15098" max="15098" width="24.85546875" customWidth="1"/>
    <col min="15099" max="15099" width="29.7109375" customWidth="1"/>
    <col min="15100" max="15100" width="25" customWidth="1"/>
    <col min="15101" max="15101" width="35.28515625" customWidth="1"/>
    <col min="15102" max="15102" width="34.140625" customWidth="1"/>
    <col min="15103" max="15103" width="29.140625" customWidth="1"/>
    <col min="15104" max="15104" width="35.28515625" customWidth="1"/>
    <col min="15105" max="15105" width="23.140625" customWidth="1"/>
    <col min="15352" max="15352" width="71.140625" customWidth="1"/>
    <col min="15353" max="15353" width="25" customWidth="1"/>
    <col min="15354" max="15354" width="24.85546875" customWidth="1"/>
    <col min="15355" max="15355" width="29.7109375" customWidth="1"/>
    <col min="15356" max="15356" width="25" customWidth="1"/>
    <col min="15357" max="15357" width="35.28515625" customWidth="1"/>
    <col min="15358" max="15358" width="34.140625" customWidth="1"/>
    <col min="15359" max="15359" width="29.140625" customWidth="1"/>
    <col min="15360" max="15360" width="35.28515625" customWidth="1"/>
    <col min="15361" max="15361" width="23.140625" customWidth="1"/>
    <col min="15608" max="15608" width="71.140625" customWidth="1"/>
    <col min="15609" max="15609" width="25" customWidth="1"/>
    <col min="15610" max="15610" width="24.85546875" customWidth="1"/>
    <col min="15611" max="15611" width="29.7109375" customWidth="1"/>
    <col min="15612" max="15612" width="25" customWidth="1"/>
    <col min="15613" max="15613" width="35.28515625" customWidth="1"/>
    <col min="15614" max="15614" width="34.140625" customWidth="1"/>
    <col min="15615" max="15615" width="29.140625" customWidth="1"/>
    <col min="15616" max="15616" width="35.28515625" customWidth="1"/>
    <col min="15617" max="15617" width="23.140625" customWidth="1"/>
    <col min="15864" max="15864" width="71.140625" customWidth="1"/>
    <col min="15865" max="15865" width="25" customWidth="1"/>
    <col min="15866" max="15866" width="24.85546875" customWidth="1"/>
    <col min="15867" max="15867" width="29.7109375" customWidth="1"/>
    <col min="15868" max="15868" width="25" customWidth="1"/>
    <col min="15869" max="15869" width="35.28515625" customWidth="1"/>
    <col min="15870" max="15870" width="34.140625" customWidth="1"/>
    <col min="15871" max="15871" width="29.140625" customWidth="1"/>
    <col min="15872" max="15872" width="35.28515625" customWidth="1"/>
    <col min="15873" max="15873" width="23.140625" customWidth="1"/>
    <col min="16120" max="16120" width="71.140625" customWidth="1"/>
    <col min="16121" max="16121" width="25" customWidth="1"/>
    <col min="16122" max="16122" width="24.85546875" customWidth="1"/>
    <col min="16123" max="16123" width="29.7109375" customWidth="1"/>
    <col min="16124" max="16124" width="25" customWidth="1"/>
    <col min="16125" max="16125" width="35.28515625" customWidth="1"/>
    <col min="16126" max="16126" width="34.140625" customWidth="1"/>
    <col min="16127" max="16127" width="29.140625" customWidth="1"/>
    <col min="16128" max="16128" width="35.28515625" customWidth="1"/>
    <col min="16129" max="16129" width="23.140625" customWidth="1"/>
  </cols>
  <sheetData>
    <row r="1" spans="1:62" s="92" customFormat="1">
      <c r="A1" s="112"/>
    </row>
    <row r="2" spans="1:62" s="92" customFormat="1" ht="33.75">
      <c r="A2" s="112"/>
      <c r="B2" s="421" t="s">
        <v>142</v>
      </c>
      <c r="C2" s="420" t="s">
        <v>141</v>
      </c>
      <c r="D2" s="420" t="s">
        <v>140</v>
      </c>
    </row>
    <row r="3" spans="1:62" s="92" customFormat="1" ht="18.75">
      <c r="A3" s="112"/>
      <c r="B3" s="418" t="s">
        <v>206</v>
      </c>
      <c r="C3" s="426">
        <v>1.05</v>
      </c>
      <c r="D3" s="426">
        <v>1.02</v>
      </c>
    </row>
    <row r="4" spans="1:62" s="92" customFormat="1" ht="19.5" thickBot="1">
      <c r="A4" s="112"/>
      <c r="B4" s="419" t="s">
        <v>207</v>
      </c>
      <c r="C4" s="426">
        <v>1.2</v>
      </c>
      <c r="D4" s="426">
        <v>1.05</v>
      </c>
    </row>
    <row r="5" spans="1:62" s="92" customFormat="1">
      <c r="A5" s="112"/>
    </row>
    <row r="6" spans="1:62" s="92" customFormat="1">
      <c r="A6" s="112"/>
    </row>
    <row r="7" spans="1:62" s="92" customFormat="1">
      <c r="A7" s="112"/>
    </row>
    <row r="8" spans="1:62" ht="15.75" thickBot="1">
      <c r="C8" s="5"/>
      <c r="D8" s="5"/>
      <c r="E8" s="5"/>
      <c r="F8" s="5"/>
    </row>
    <row r="9" spans="1:62" ht="23.25" thickBot="1">
      <c r="B9" s="300" t="s">
        <v>208</v>
      </c>
      <c r="C9" s="282"/>
      <c r="D9" s="282"/>
      <c r="E9" s="282"/>
      <c r="F9" s="282"/>
      <c r="G9" s="282"/>
      <c r="H9" s="282"/>
      <c r="I9" s="282"/>
      <c r="J9" s="282"/>
      <c r="K9" s="282"/>
      <c r="L9" s="282"/>
      <c r="M9" s="282"/>
      <c r="N9" s="282"/>
      <c r="O9" s="282"/>
      <c r="P9" s="282"/>
      <c r="Q9" s="282"/>
      <c r="R9" s="282"/>
      <c r="S9" s="282"/>
      <c r="T9" s="282"/>
      <c r="U9" s="282"/>
      <c r="V9" s="282"/>
      <c r="W9" s="282"/>
      <c r="X9" s="282"/>
      <c r="Y9" s="282"/>
      <c r="Z9" s="282"/>
      <c r="AA9" s="282"/>
      <c r="AB9" s="282"/>
    </row>
    <row r="10" spans="1:62" s="92" customFormat="1" ht="22.5">
      <c r="A10" s="112"/>
      <c r="B10" s="301"/>
      <c r="C10" s="200"/>
      <c r="D10" s="200"/>
      <c r="E10" s="200"/>
      <c r="F10" s="200"/>
      <c r="G10" s="200"/>
      <c r="H10" s="200"/>
      <c r="I10" s="200"/>
      <c r="J10" s="200"/>
      <c r="K10" s="200"/>
      <c r="L10" s="200"/>
      <c r="M10" s="200"/>
      <c r="N10" s="200"/>
      <c r="O10" s="200"/>
      <c r="P10" s="200"/>
      <c r="Q10" s="200"/>
      <c r="R10" s="200"/>
      <c r="S10" s="200"/>
      <c r="T10" s="200"/>
      <c r="U10" s="200"/>
      <c r="V10" s="200"/>
      <c r="W10" s="200"/>
      <c r="X10" s="200"/>
      <c r="Y10" s="200"/>
      <c r="Z10" s="200"/>
      <c r="AA10" s="200"/>
      <c r="AB10" s="200"/>
    </row>
    <row r="11" spans="1:62" ht="15.75" thickBot="1">
      <c r="B11" s="5"/>
      <c r="C11" s="3">
        <v>1</v>
      </c>
      <c r="F11" s="7"/>
      <c r="U11" s="92"/>
      <c r="V11" s="92"/>
      <c r="W11" s="92"/>
      <c r="X11" s="92"/>
      <c r="Y11" s="92"/>
      <c r="Z11" s="92"/>
      <c r="AA11" s="92"/>
      <c r="AB11" s="92"/>
    </row>
    <row r="12" spans="1:62" ht="18.75" thickBot="1">
      <c r="B12" s="382" t="s">
        <v>57</v>
      </c>
      <c r="C12" s="384"/>
      <c r="D12" s="282"/>
      <c r="E12" s="282"/>
      <c r="F12" s="385"/>
      <c r="G12" s="282"/>
      <c r="H12" s="282"/>
      <c r="I12" s="282"/>
      <c r="J12" s="282"/>
      <c r="K12" s="282"/>
      <c r="L12" s="282"/>
      <c r="M12" s="282"/>
      <c r="N12" s="282"/>
      <c r="O12" s="282"/>
      <c r="P12" s="282"/>
      <c r="Q12" s="282"/>
      <c r="R12" s="282"/>
      <c r="S12" s="282"/>
      <c r="T12" s="282"/>
      <c r="U12" s="282"/>
      <c r="V12" s="282"/>
      <c r="W12" s="282"/>
      <c r="X12" s="282"/>
      <c r="Y12" s="282"/>
      <c r="Z12" s="282"/>
      <c r="AA12" s="282"/>
      <c r="AB12" s="282"/>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row>
    <row r="13" spans="1:62" s="92" customFormat="1" ht="18.75" thickBot="1">
      <c r="A13" s="112"/>
      <c r="B13" s="4"/>
      <c r="C13" s="6"/>
      <c r="F13" s="7"/>
      <c r="L13" s="112"/>
      <c r="M13" s="112"/>
      <c r="N13" s="112"/>
      <c r="O13" s="112"/>
      <c r="P13" s="112"/>
      <c r="Q13" s="112"/>
      <c r="R13" s="112"/>
      <c r="S13" s="112"/>
      <c r="T13" s="112"/>
      <c r="U13" s="112"/>
      <c r="V13" s="112"/>
      <c r="W13" s="112"/>
      <c r="X13" s="112"/>
      <c r="Y13" s="112"/>
      <c r="Z13" s="112"/>
      <c r="AA13" s="112"/>
      <c r="AB13" s="112"/>
      <c r="AC13" s="112"/>
      <c r="AD13" s="112"/>
      <c r="AE13" s="112"/>
      <c r="AF13" s="112"/>
      <c r="AG13" s="112"/>
      <c r="AH13" s="112"/>
      <c r="AI13" s="112"/>
      <c r="AJ13" s="112"/>
      <c r="AK13" s="112"/>
      <c r="AL13" s="112"/>
      <c r="AM13" s="112"/>
      <c r="AN13" s="112"/>
      <c r="AO13" s="112"/>
      <c r="AP13" s="112"/>
      <c r="AQ13" s="112"/>
      <c r="AR13" s="112"/>
      <c r="AS13" s="112"/>
      <c r="AT13" s="112"/>
      <c r="AU13" s="112"/>
      <c r="AV13" s="112"/>
      <c r="AW13" s="112"/>
      <c r="AX13" s="112"/>
      <c r="AY13" s="112"/>
      <c r="AZ13" s="112"/>
      <c r="BA13" s="112"/>
      <c r="BB13" s="112"/>
      <c r="BC13" s="112"/>
      <c r="BD13" s="112"/>
      <c r="BE13" s="112"/>
      <c r="BF13" s="112"/>
      <c r="BG13" s="112"/>
      <c r="BH13" s="112"/>
      <c r="BI13" s="112"/>
      <c r="BJ13" s="112"/>
    </row>
    <row r="14" spans="1:62" ht="18.95" customHeight="1">
      <c r="B14" s="76" t="s">
        <v>199</v>
      </c>
      <c r="C14" s="44"/>
      <c r="D14" s="44"/>
      <c r="E14" s="44"/>
      <c r="F14" s="44"/>
      <c r="G14" s="44"/>
      <c r="H14" s="44"/>
      <c r="I14" s="44"/>
      <c r="J14" s="44"/>
      <c r="K14" s="45"/>
      <c r="L14" s="44"/>
      <c r="M14" s="44"/>
      <c r="N14" s="44"/>
      <c r="O14" s="44"/>
      <c r="P14" s="44"/>
      <c r="Q14" s="44"/>
      <c r="R14" s="44"/>
      <c r="S14" s="44"/>
      <c r="T14" s="44"/>
      <c r="U14" s="44"/>
      <c r="V14" s="44"/>
      <c r="W14" s="44"/>
      <c r="X14" s="44"/>
      <c r="Y14" s="44"/>
      <c r="Z14" s="44"/>
      <c r="AA14" s="44"/>
      <c r="AB14" s="44"/>
      <c r="AC14" s="8"/>
      <c r="AD14" s="8"/>
      <c r="AE14" s="8"/>
      <c r="AF14" s="8"/>
      <c r="AG14" s="8"/>
      <c r="AH14" s="8"/>
      <c r="AI14" s="8"/>
      <c r="AJ14" s="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row>
    <row r="15" spans="1:62" s="14" customFormat="1" ht="18">
      <c r="A15" s="13"/>
      <c r="B15" s="77" t="s">
        <v>58</v>
      </c>
      <c r="C15" s="49">
        <v>0</v>
      </c>
      <c r="D15" s="47">
        <v>1</v>
      </c>
      <c r="E15" s="47">
        <f>D15+1</f>
        <v>2</v>
      </c>
      <c r="F15" s="48">
        <f>E15+1</f>
        <v>3</v>
      </c>
      <c r="G15" s="48">
        <f>F15+1</f>
        <v>4</v>
      </c>
      <c r="H15" s="47">
        <f>G15+1</f>
        <v>5</v>
      </c>
      <c r="I15" s="47">
        <v>6</v>
      </c>
      <c r="J15" s="47">
        <v>7</v>
      </c>
      <c r="K15" s="49">
        <v>8</v>
      </c>
      <c r="L15" s="50">
        <v>9</v>
      </c>
      <c r="M15" s="50">
        <v>10</v>
      </c>
      <c r="N15" s="50">
        <v>11</v>
      </c>
      <c r="O15" s="50">
        <v>12</v>
      </c>
      <c r="P15" s="50">
        <v>13</v>
      </c>
      <c r="Q15" s="50">
        <v>14</v>
      </c>
      <c r="R15" s="50">
        <v>15</v>
      </c>
      <c r="S15" s="50">
        <v>16</v>
      </c>
      <c r="T15" s="50">
        <v>17</v>
      </c>
      <c r="U15" s="50">
        <v>18</v>
      </c>
      <c r="V15" s="50">
        <v>19</v>
      </c>
      <c r="W15" s="50">
        <v>20</v>
      </c>
      <c r="X15" s="50">
        <v>21</v>
      </c>
      <c r="Y15" s="50">
        <v>22</v>
      </c>
      <c r="Z15" s="50">
        <v>23</v>
      </c>
      <c r="AA15" s="50">
        <v>24</v>
      </c>
      <c r="AB15" s="50">
        <v>25</v>
      </c>
      <c r="AC15" s="13"/>
      <c r="AD15" s="13"/>
      <c r="AE15" s="13"/>
      <c r="AF15" s="13"/>
      <c r="AG15" s="13"/>
      <c r="AH15" s="13"/>
      <c r="AI15" s="13"/>
      <c r="AJ15" s="13"/>
      <c r="AK15" s="13"/>
      <c r="AL15" s="13"/>
      <c r="AM15" s="13"/>
      <c r="AN15" s="13"/>
      <c r="AO15" s="13"/>
      <c r="AP15" s="13"/>
      <c r="AQ15" s="13"/>
      <c r="AR15" s="13"/>
      <c r="AS15" s="13"/>
      <c r="AT15" s="13"/>
      <c r="AU15" s="13"/>
      <c r="AV15" s="13"/>
      <c r="AW15" s="13"/>
      <c r="AX15" s="13"/>
      <c r="AY15" s="13"/>
      <c r="AZ15" s="13"/>
      <c r="BA15" s="13"/>
      <c r="BB15" s="13"/>
      <c r="BC15" s="13"/>
      <c r="BD15" s="13"/>
      <c r="BE15" s="13"/>
      <c r="BF15" s="13"/>
      <c r="BG15" s="13"/>
      <c r="BH15" s="13"/>
      <c r="BI15" s="13"/>
      <c r="BJ15" s="13"/>
    </row>
    <row r="16" spans="1:62" s="16" customFormat="1" ht="18">
      <c r="A16" s="13"/>
      <c r="B16" s="78" t="s">
        <v>59</v>
      </c>
      <c r="C16" s="365">
        <v>0</v>
      </c>
      <c r="D16" s="366">
        <v>0</v>
      </c>
      <c r="E16" s="366">
        <v>0</v>
      </c>
      <c r="F16" s="365">
        <v>0</v>
      </c>
      <c r="G16" s="367">
        <v>0</v>
      </c>
      <c r="H16" s="367">
        <v>0</v>
      </c>
      <c r="I16" s="367">
        <v>0</v>
      </c>
      <c r="J16" s="368">
        <v>0</v>
      </c>
      <c r="K16" s="369">
        <v>0</v>
      </c>
      <c r="L16" s="369">
        <v>0</v>
      </c>
      <c r="M16" s="369">
        <v>0</v>
      </c>
      <c r="N16" s="369">
        <v>0</v>
      </c>
      <c r="O16" s="369">
        <v>0</v>
      </c>
      <c r="P16" s="369">
        <v>0</v>
      </c>
      <c r="Q16" s="369">
        <v>0</v>
      </c>
      <c r="R16" s="369">
        <v>0</v>
      </c>
      <c r="S16" s="369">
        <v>0</v>
      </c>
      <c r="T16" s="369">
        <v>0</v>
      </c>
      <c r="U16" s="369">
        <v>0</v>
      </c>
      <c r="V16" s="369">
        <v>0</v>
      </c>
      <c r="W16" s="369">
        <v>0</v>
      </c>
      <c r="X16" s="369">
        <v>0</v>
      </c>
      <c r="Y16" s="369">
        <v>0</v>
      </c>
      <c r="Z16" s="369">
        <v>0</v>
      </c>
      <c r="AA16" s="369">
        <v>0</v>
      </c>
      <c r="AB16" s="369">
        <v>0</v>
      </c>
      <c r="AC16" s="13"/>
      <c r="AD16" s="13"/>
      <c r="AE16" s="13"/>
      <c r="AF16" s="13"/>
      <c r="AG16" s="13"/>
      <c r="AH16" s="13"/>
      <c r="AI16" s="13"/>
      <c r="AJ16" s="13"/>
      <c r="AK16" s="13"/>
      <c r="AL16" s="13"/>
      <c r="AM16" s="13"/>
      <c r="AN16" s="13"/>
      <c r="AO16" s="13"/>
      <c r="AP16" s="13"/>
      <c r="AQ16" s="13"/>
      <c r="AR16" s="13"/>
      <c r="AS16" s="13"/>
      <c r="AT16" s="13"/>
      <c r="AU16" s="13"/>
      <c r="AV16" s="13"/>
      <c r="AW16" s="13"/>
      <c r="AX16" s="13"/>
      <c r="AY16" s="13"/>
      <c r="AZ16" s="13"/>
      <c r="BA16" s="13"/>
      <c r="BB16" s="13"/>
      <c r="BC16" s="13"/>
      <c r="BD16" s="13"/>
      <c r="BE16" s="13"/>
      <c r="BF16" s="13"/>
      <c r="BG16" s="13"/>
      <c r="BH16" s="13"/>
      <c r="BI16" s="13"/>
      <c r="BJ16" s="13"/>
    </row>
    <row r="17" spans="1:62" s="14" customFormat="1" ht="18">
      <c r="A17" s="13"/>
      <c r="B17" s="79" t="s">
        <v>60</v>
      </c>
      <c r="C17" s="370">
        <v>1</v>
      </c>
      <c r="D17" s="371">
        <f t="shared" ref="D17:U17" si="0">C17*($C11^D15)</f>
        <v>1</v>
      </c>
      <c r="E17" s="371">
        <f t="shared" si="0"/>
        <v>1</v>
      </c>
      <c r="F17" s="371">
        <f t="shared" si="0"/>
        <v>1</v>
      </c>
      <c r="G17" s="371">
        <f t="shared" si="0"/>
        <v>1</v>
      </c>
      <c r="H17" s="371">
        <f t="shared" si="0"/>
        <v>1</v>
      </c>
      <c r="I17" s="371">
        <f t="shared" si="0"/>
        <v>1</v>
      </c>
      <c r="J17" s="371">
        <f t="shared" si="0"/>
        <v>1</v>
      </c>
      <c r="K17" s="371">
        <f t="shared" si="0"/>
        <v>1</v>
      </c>
      <c r="L17" s="371">
        <f t="shared" si="0"/>
        <v>1</v>
      </c>
      <c r="M17" s="371">
        <f t="shared" si="0"/>
        <v>1</v>
      </c>
      <c r="N17" s="371">
        <f t="shared" si="0"/>
        <v>1</v>
      </c>
      <c r="O17" s="371">
        <f t="shared" si="0"/>
        <v>1</v>
      </c>
      <c r="P17" s="371">
        <f t="shared" si="0"/>
        <v>1</v>
      </c>
      <c r="Q17" s="371">
        <f t="shared" si="0"/>
        <v>1</v>
      </c>
      <c r="R17" s="371">
        <f t="shared" si="0"/>
        <v>1</v>
      </c>
      <c r="S17" s="371">
        <f t="shared" si="0"/>
        <v>1</v>
      </c>
      <c r="T17" s="371">
        <f t="shared" si="0"/>
        <v>1</v>
      </c>
      <c r="U17" s="371">
        <f t="shared" si="0"/>
        <v>1</v>
      </c>
      <c r="V17" s="371">
        <f t="shared" ref="V17" si="1">U17*($C11^V15)</f>
        <v>1</v>
      </c>
      <c r="W17" s="371">
        <f t="shared" ref="W17" si="2">V17*($C11^W15)</f>
        <v>1</v>
      </c>
      <c r="X17" s="371">
        <f t="shared" ref="X17" si="3">W17*($C11^X15)</f>
        <v>1</v>
      </c>
      <c r="Y17" s="371">
        <f t="shared" ref="Y17" si="4">X17*($C11^Y15)</f>
        <v>1</v>
      </c>
      <c r="Z17" s="371">
        <f t="shared" ref="Z17" si="5">Y17*($C11^Z15)</f>
        <v>1</v>
      </c>
      <c r="AA17" s="371">
        <f t="shared" ref="AA17" si="6">Z17*($C11^AA15)</f>
        <v>1</v>
      </c>
      <c r="AB17" s="371">
        <f t="shared" ref="AB17" si="7">AA17*($C11^AB15)</f>
        <v>1</v>
      </c>
      <c r="AC17" s="13"/>
      <c r="AD17" s="13"/>
      <c r="AE17" s="13"/>
      <c r="AF17" s="13"/>
      <c r="AG17" s="13"/>
      <c r="AH17" s="13"/>
      <c r="AI17" s="13"/>
      <c r="AJ17" s="13"/>
      <c r="AK17" s="13"/>
      <c r="AL17" s="13"/>
      <c r="AM17" s="13"/>
      <c r="AN17" s="13"/>
      <c r="AO17" s="13"/>
      <c r="AP17" s="13"/>
      <c r="AQ17" s="13"/>
      <c r="AR17" s="13"/>
      <c r="AS17" s="13"/>
      <c r="AT17" s="13"/>
      <c r="AU17" s="13"/>
      <c r="AV17" s="13"/>
      <c r="AW17" s="13"/>
      <c r="AX17" s="13"/>
      <c r="AY17" s="13"/>
      <c r="AZ17" s="13"/>
      <c r="BA17" s="13"/>
      <c r="BB17" s="13"/>
      <c r="BC17" s="13"/>
      <c r="BD17" s="13"/>
      <c r="BE17" s="13"/>
      <c r="BF17" s="13"/>
      <c r="BG17" s="13"/>
      <c r="BH17" s="13"/>
      <c r="BI17" s="13"/>
      <c r="BJ17" s="13"/>
    </row>
    <row r="18" spans="1:62" s="54" customFormat="1">
      <c r="A18" s="67"/>
      <c r="B18" s="80" t="s">
        <v>61</v>
      </c>
      <c r="C18" s="372">
        <f>C16+C17</f>
        <v>1</v>
      </c>
      <c r="D18" s="373">
        <f t="shared" ref="D18:U18" si="8">D16+D17</f>
        <v>1</v>
      </c>
      <c r="E18" s="373">
        <f t="shared" si="8"/>
        <v>1</v>
      </c>
      <c r="F18" s="373">
        <f t="shared" si="8"/>
        <v>1</v>
      </c>
      <c r="G18" s="373">
        <f t="shared" si="8"/>
        <v>1</v>
      </c>
      <c r="H18" s="373">
        <f t="shared" si="8"/>
        <v>1</v>
      </c>
      <c r="I18" s="373">
        <f t="shared" si="8"/>
        <v>1</v>
      </c>
      <c r="J18" s="373">
        <f t="shared" si="8"/>
        <v>1</v>
      </c>
      <c r="K18" s="373">
        <f t="shared" si="8"/>
        <v>1</v>
      </c>
      <c r="L18" s="373">
        <f t="shared" si="8"/>
        <v>1</v>
      </c>
      <c r="M18" s="373">
        <f t="shared" si="8"/>
        <v>1</v>
      </c>
      <c r="N18" s="373">
        <f t="shared" si="8"/>
        <v>1</v>
      </c>
      <c r="O18" s="373">
        <f t="shared" si="8"/>
        <v>1</v>
      </c>
      <c r="P18" s="373">
        <f t="shared" si="8"/>
        <v>1</v>
      </c>
      <c r="Q18" s="373">
        <f t="shared" si="8"/>
        <v>1</v>
      </c>
      <c r="R18" s="373">
        <f t="shared" si="8"/>
        <v>1</v>
      </c>
      <c r="S18" s="373">
        <f t="shared" si="8"/>
        <v>1</v>
      </c>
      <c r="T18" s="373">
        <f t="shared" si="8"/>
        <v>1</v>
      </c>
      <c r="U18" s="373">
        <f t="shared" si="8"/>
        <v>1</v>
      </c>
      <c r="V18" s="373">
        <f t="shared" ref="V18:W18" si="9">V16+V17</f>
        <v>1</v>
      </c>
      <c r="W18" s="373">
        <f t="shared" si="9"/>
        <v>1</v>
      </c>
      <c r="X18" s="373">
        <f t="shared" ref="X18:AB18" si="10">X16+X17</f>
        <v>1</v>
      </c>
      <c r="Y18" s="373">
        <f t="shared" si="10"/>
        <v>1</v>
      </c>
      <c r="Z18" s="373">
        <f t="shared" si="10"/>
        <v>1</v>
      </c>
      <c r="AA18" s="373">
        <f t="shared" si="10"/>
        <v>1</v>
      </c>
      <c r="AB18" s="373">
        <f t="shared" si="10"/>
        <v>1</v>
      </c>
      <c r="AC18" s="53"/>
      <c r="AD18" s="53"/>
      <c r="AE18" s="53"/>
      <c r="AF18" s="53"/>
      <c r="AG18" s="53"/>
      <c r="AH18" s="53"/>
      <c r="AI18" s="53"/>
      <c r="AJ18" s="53"/>
      <c r="AK18" s="53"/>
      <c r="AL18" s="53"/>
      <c r="AM18" s="53"/>
      <c r="AN18" s="53"/>
      <c r="AO18" s="53"/>
      <c r="AP18" s="53"/>
      <c r="AQ18" s="53"/>
      <c r="AR18" s="53"/>
      <c r="AS18" s="53"/>
      <c r="AT18" s="53"/>
      <c r="AU18" s="53"/>
      <c r="AV18" s="53"/>
      <c r="AW18" s="53"/>
      <c r="AX18" s="53"/>
      <c r="AY18" s="53"/>
      <c r="AZ18" s="53"/>
      <c r="BA18" s="53"/>
      <c r="BB18" s="53"/>
      <c r="BC18" s="53"/>
      <c r="BD18" s="53"/>
      <c r="BE18" s="53"/>
      <c r="BF18" s="53"/>
      <c r="BG18" s="53"/>
      <c r="BH18" s="53"/>
      <c r="BI18" s="53"/>
      <c r="BJ18" s="53"/>
    </row>
    <row r="19" spans="1:62" ht="15.75">
      <c r="B19" s="81" t="s">
        <v>138</v>
      </c>
      <c r="C19" s="422">
        <f>C18*$C$3</f>
        <v>1.05</v>
      </c>
      <c r="D19" s="422">
        <f t="shared" ref="D19:G19" si="11">D18*$C$3</f>
        <v>1.05</v>
      </c>
      <c r="E19" s="422">
        <f t="shared" si="11"/>
        <v>1.05</v>
      </c>
      <c r="F19" s="422">
        <f t="shared" si="11"/>
        <v>1.05</v>
      </c>
      <c r="G19" s="422">
        <f t="shared" si="11"/>
        <v>1.05</v>
      </c>
      <c r="H19" s="423">
        <f>H18*$D$3</f>
        <v>1.02</v>
      </c>
      <c r="I19" s="423">
        <f t="shared" ref="I19:W19" si="12">I18*$D$3</f>
        <v>1.02</v>
      </c>
      <c r="J19" s="423">
        <f t="shared" si="12"/>
        <v>1.02</v>
      </c>
      <c r="K19" s="423">
        <f t="shared" si="12"/>
        <v>1.02</v>
      </c>
      <c r="L19" s="423">
        <f t="shared" si="12"/>
        <v>1.02</v>
      </c>
      <c r="M19" s="423">
        <f t="shared" si="12"/>
        <v>1.02</v>
      </c>
      <c r="N19" s="423">
        <f t="shared" si="12"/>
        <v>1.02</v>
      </c>
      <c r="O19" s="423">
        <f t="shared" si="12"/>
        <v>1.02</v>
      </c>
      <c r="P19" s="423">
        <f t="shared" si="12"/>
        <v>1.02</v>
      </c>
      <c r="Q19" s="423">
        <f t="shared" si="12"/>
        <v>1.02</v>
      </c>
      <c r="R19" s="423">
        <f t="shared" si="12"/>
        <v>1.02</v>
      </c>
      <c r="S19" s="423">
        <f t="shared" si="12"/>
        <v>1.02</v>
      </c>
      <c r="T19" s="423">
        <f t="shared" si="12"/>
        <v>1.02</v>
      </c>
      <c r="U19" s="423">
        <f t="shared" si="12"/>
        <v>1.02</v>
      </c>
      <c r="V19" s="423">
        <f t="shared" si="12"/>
        <v>1.02</v>
      </c>
      <c r="W19" s="423">
        <f t="shared" si="12"/>
        <v>1.02</v>
      </c>
      <c r="X19" s="423">
        <f t="shared" ref="X19" si="13">X18*$D$3</f>
        <v>1.02</v>
      </c>
      <c r="Y19" s="423">
        <f t="shared" ref="Y19" si="14">Y18*$D$3</f>
        <v>1.02</v>
      </c>
      <c r="Z19" s="423">
        <f t="shared" ref="Z19" si="15">Z18*$D$3</f>
        <v>1.02</v>
      </c>
      <c r="AA19" s="423">
        <f t="shared" ref="AA19" si="16">AA18*$D$3</f>
        <v>1.02</v>
      </c>
      <c r="AB19" s="423">
        <f t="shared" ref="AB19" si="17">AB18*$D$3</f>
        <v>1.02</v>
      </c>
      <c r="AC19" s="8"/>
      <c r="AD19" s="8"/>
      <c r="AE19" s="8"/>
      <c r="AF19" s="8"/>
      <c r="AG19" s="8"/>
      <c r="AH19" s="8"/>
      <c r="AI19" s="8"/>
      <c r="AJ19" s="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row>
    <row r="20" spans="1:62" ht="16.5" thickBot="1">
      <c r="B20" s="75" t="s">
        <v>139</v>
      </c>
      <c r="C20" s="424">
        <f>C18*$C$4</f>
        <v>1.2</v>
      </c>
      <c r="D20" s="424">
        <f t="shared" ref="D20:G20" si="18">D18*$C$4</f>
        <v>1.2</v>
      </c>
      <c r="E20" s="424">
        <f t="shared" si="18"/>
        <v>1.2</v>
      </c>
      <c r="F20" s="424">
        <f t="shared" si="18"/>
        <v>1.2</v>
      </c>
      <c r="G20" s="424">
        <f t="shared" si="18"/>
        <v>1.2</v>
      </c>
      <c r="H20" s="425">
        <f>H18*$D$4</f>
        <v>1.05</v>
      </c>
      <c r="I20" s="425">
        <f t="shared" ref="I20:W20" si="19">I18*$D$4</f>
        <v>1.05</v>
      </c>
      <c r="J20" s="425">
        <f t="shared" si="19"/>
        <v>1.05</v>
      </c>
      <c r="K20" s="425">
        <f t="shared" si="19"/>
        <v>1.05</v>
      </c>
      <c r="L20" s="425">
        <f t="shared" si="19"/>
        <v>1.05</v>
      </c>
      <c r="M20" s="425">
        <f t="shared" si="19"/>
        <v>1.05</v>
      </c>
      <c r="N20" s="425">
        <f t="shared" si="19"/>
        <v>1.05</v>
      </c>
      <c r="O20" s="425">
        <f t="shared" si="19"/>
        <v>1.05</v>
      </c>
      <c r="P20" s="425">
        <f t="shared" si="19"/>
        <v>1.05</v>
      </c>
      <c r="Q20" s="425">
        <f t="shared" si="19"/>
        <v>1.05</v>
      </c>
      <c r="R20" s="425">
        <f t="shared" si="19"/>
        <v>1.05</v>
      </c>
      <c r="S20" s="425">
        <f t="shared" si="19"/>
        <v>1.05</v>
      </c>
      <c r="T20" s="425">
        <f t="shared" si="19"/>
        <v>1.05</v>
      </c>
      <c r="U20" s="425">
        <f t="shared" si="19"/>
        <v>1.05</v>
      </c>
      <c r="V20" s="425">
        <f t="shared" si="19"/>
        <v>1.05</v>
      </c>
      <c r="W20" s="425">
        <f t="shared" si="19"/>
        <v>1.05</v>
      </c>
      <c r="X20" s="425">
        <f t="shared" ref="X20:AB20" si="20">X18*$D$4</f>
        <v>1.05</v>
      </c>
      <c r="Y20" s="425">
        <f t="shared" si="20"/>
        <v>1.05</v>
      </c>
      <c r="Z20" s="425">
        <f t="shared" si="20"/>
        <v>1.05</v>
      </c>
      <c r="AA20" s="425">
        <f t="shared" si="20"/>
        <v>1.05</v>
      </c>
      <c r="AB20" s="425">
        <f t="shared" si="20"/>
        <v>1.05</v>
      </c>
      <c r="AC20" s="8"/>
      <c r="AD20" s="8"/>
      <c r="AE20" s="8"/>
      <c r="AF20" s="8"/>
      <c r="AG20" s="8"/>
      <c r="AH20" s="8"/>
      <c r="AI20" s="8"/>
      <c r="AJ20" s="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row>
    <row r="21" spans="1:62" ht="15.75" thickBot="1">
      <c r="B21" s="18"/>
      <c r="C21" s="374"/>
      <c r="D21" s="374"/>
      <c r="E21" s="374"/>
      <c r="F21" s="374"/>
      <c r="G21" s="374"/>
      <c r="H21" s="374"/>
      <c r="I21" s="374"/>
      <c r="J21" s="374"/>
      <c r="K21" s="374"/>
      <c r="L21" s="375"/>
      <c r="M21" s="375"/>
      <c r="N21" s="375"/>
      <c r="O21" s="375"/>
      <c r="P21" s="375"/>
      <c r="Q21" s="375"/>
      <c r="R21" s="375"/>
      <c r="S21" s="375"/>
      <c r="T21" s="375"/>
      <c r="U21" s="375"/>
      <c r="V21" s="375"/>
      <c r="W21" s="375"/>
      <c r="X21" s="375"/>
      <c r="Y21" s="375"/>
      <c r="Z21" s="375"/>
      <c r="AA21" s="375"/>
      <c r="AB21" s="375"/>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row>
    <row r="22" spans="1:62" ht="18.95" customHeight="1">
      <c r="B22" s="70" t="s">
        <v>202</v>
      </c>
      <c r="C22" s="44"/>
      <c r="D22" s="44"/>
      <c r="E22" s="44"/>
      <c r="F22" s="44"/>
      <c r="G22" s="44"/>
      <c r="H22" s="44"/>
      <c r="I22" s="44"/>
      <c r="J22" s="44"/>
      <c r="K22" s="44"/>
      <c r="L22" s="44"/>
      <c r="M22" s="44"/>
      <c r="N22" s="44"/>
      <c r="O22" s="44"/>
      <c r="P22" s="44"/>
      <c r="Q22" s="44"/>
      <c r="R22" s="44"/>
      <c r="S22" s="44"/>
      <c r="T22" s="44"/>
      <c r="U22" s="44"/>
      <c r="V22" s="44"/>
      <c r="W22" s="44"/>
      <c r="X22" s="44"/>
      <c r="Y22" s="44"/>
      <c r="Z22" s="44"/>
      <c r="AA22" s="44"/>
      <c r="AB22" s="44"/>
      <c r="AC22" s="8"/>
      <c r="AD22" s="8"/>
      <c r="AE22" s="8"/>
      <c r="AF22" s="8"/>
      <c r="AG22" s="8"/>
      <c r="AH22" s="8"/>
      <c r="AI22" s="8"/>
      <c r="AJ22" s="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row>
    <row r="23" spans="1:62" s="14" customFormat="1" ht="18">
      <c r="A23" s="13"/>
      <c r="B23" s="71" t="s">
        <v>58</v>
      </c>
      <c r="C23" s="461">
        <v>0</v>
      </c>
      <c r="D23" s="461">
        <v>1</v>
      </c>
      <c r="E23" s="461">
        <f>D23+1</f>
        <v>2</v>
      </c>
      <c r="F23" s="461">
        <f>E23+1</f>
        <v>3</v>
      </c>
      <c r="G23" s="461">
        <f>F23+1</f>
        <v>4</v>
      </c>
      <c r="H23" s="461">
        <f>G23+1</f>
        <v>5</v>
      </c>
      <c r="I23" s="461">
        <v>6</v>
      </c>
      <c r="J23" s="461">
        <v>7</v>
      </c>
      <c r="K23" s="461">
        <v>8</v>
      </c>
      <c r="L23" s="461">
        <v>9</v>
      </c>
      <c r="M23" s="461">
        <v>10</v>
      </c>
      <c r="N23" s="461">
        <v>11</v>
      </c>
      <c r="O23" s="461">
        <v>12</v>
      </c>
      <c r="P23" s="461">
        <v>13</v>
      </c>
      <c r="Q23" s="461">
        <v>14</v>
      </c>
      <c r="R23" s="461">
        <v>15</v>
      </c>
      <c r="S23" s="461">
        <v>16</v>
      </c>
      <c r="T23" s="461">
        <v>17</v>
      </c>
      <c r="U23" s="461">
        <v>18</v>
      </c>
      <c r="V23" s="461">
        <v>19</v>
      </c>
      <c r="W23" s="461">
        <v>20</v>
      </c>
      <c r="X23" s="461">
        <v>21</v>
      </c>
      <c r="Y23" s="461">
        <v>22</v>
      </c>
      <c r="Z23" s="461">
        <v>23</v>
      </c>
      <c r="AA23" s="461">
        <v>24</v>
      </c>
      <c r="AB23" s="461">
        <v>25</v>
      </c>
      <c r="AC23" s="13"/>
      <c r="AD23" s="13"/>
      <c r="AE23" s="13"/>
      <c r="AF23" s="13"/>
      <c r="AG23" s="13"/>
      <c r="AH23" s="13"/>
      <c r="AI23" s="13"/>
      <c r="AJ23" s="13"/>
      <c r="AK23" s="13"/>
      <c r="AL23" s="13"/>
      <c r="AM23" s="13"/>
      <c r="AN23" s="13"/>
      <c r="AO23" s="13"/>
      <c r="AP23" s="13"/>
      <c r="AQ23" s="13"/>
      <c r="AR23" s="13"/>
      <c r="AS23" s="13"/>
      <c r="AT23" s="13"/>
      <c r="AU23" s="13"/>
      <c r="AV23" s="13"/>
      <c r="AW23" s="13"/>
      <c r="AX23" s="13"/>
      <c r="AY23" s="13"/>
      <c r="AZ23" s="13"/>
      <c r="BA23" s="13"/>
      <c r="BB23" s="13"/>
      <c r="BC23" s="13"/>
      <c r="BD23" s="13"/>
      <c r="BE23" s="13"/>
      <c r="BF23" s="13"/>
      <c r="BG23" s="13"/>
      <c r="BH23" s="13"/>
      <c r="BI23" s="13"/>
      <c r="BJ23" s="13"/>
    </row>
    <row r="24" spans="1:62" s="16" customFormat="1" ht="18">
      <c r="A24" s="13"/>
      <c r="B24" s="72" t="s">
        <v>59</v>
      </c>
      <c r="C24" s="377">
        <v>0</v>
      </c>
      <c r="D24" s="87">
        <v>0</v>
      </c>
      <c r="E24" s="87">
        <v>0</v>
      </c>
      <c r="F24" s="377">
        <v>0</v>
      </c>
      <c r="G24" s="376">
        <v>0</v>
      </c>
      <c r="H24" s="376">
        <v>0</v>
      </c>
      <c r="I24" s="376">
        <v>0</v>
      </c>
      <c r="J24" s="376">
        <v>0</v>
      </c>
      <c r="K24" s="376">
        <v>0</v>
      </c>
      <c r="L24" s="376">
        <v>0</v>
      </c>
      <c r="M24" s="376">
        <v>0</v>
      </c>
      <c r="N24" s="376">
        <v>0</v>
      </c>
      <c r="O24" s="376">
        <v>0</v>
      </c>
      <c r="P24" s="376">
        <v>0</v>
      </c>
      <c r="Q24" s="376">
        <v>0</v>
      </c>
      <c r="R24" s="376">
        <v>0</v>
      </c>
      <c r="S24" s="376">
        <v>0</v>
      </c>
      <c r="T24" s="376">
        <v>0</v>
      </c>
      <c r="U24" s="376">
        <v>0</v>
      </c>
      <c r="V24" s="376">
        <v>0</v>
      </c>
      <c r="W24" s="376">
        <v>0</v>
      </c>
      <c r="X24" s="376">
        <v>0</v>
      </c>
      <c r="Y24" s="376">
        <v>0</v>
      </c>
      <c r="Z24" s="376">
        <v>0</v>
      </c>
      <c r="AA24" s="376">
        <v>0</v>
      </c>
      <c r="AB24" s="376">
        <v>0</v>
      </c>
      <c r="AC24" s="13"/>
      <c r="AD24" s="13"/>
      <c r="AE24" s="13"/>
      <c r="AF24" s="13"/>
      <c r="AG24" s="13"/>
      <c r="AH24" s="13"/>
      <c r="AI24" s="13"/>
      <c r="AJ24" s="13"/>
      <c r="AK24" s="13"/>
      <c r="AL24" s="13"/>
      <c r="AM24" s="13"/>
      <c r="AN24" s="13"/>
      <c r="AO24" s="13"/>
      <c r="AP24" s="13"/>
      <c r="AQ24" s="13"/>
      <c r="AR24" s="13"/>
      <c r="AS24" s="13"/>
      <c r="AT24" s="13"/>
      <c r="AU24" s="13"/>
      <c r="AV24" s="13"/>
      <c r="AW24" s="13"/>
      <c r="AX24" s="13"/>
      <c r="AY24" s="13"/>
      <c r="AZ24" s="13"/>
      <c r="BA24" s="13"/>
      <c r="BB24" s="13"/>
      <c r="BC24" s="13"/>
      <c r="BD24" s="13"/>
      <c r="BE24" s="13"/>
      <c r="BF24" s="13"/>
      <c r="BG24" s="13"/>
      <c r="BH24" s="13"/>
      <c r="BI24" s="13"/>
      <c r="BJ24" s="13"/>
    </row>
    <row r="25" spans="1:62" s="14" customFormat="1" ht="18">
      <c r="A25" s="13"/>
      <c r="B25" s="73" t="s">
        <v>60</v>
      </c>
      <c r="C25" s="378">
        <v>2</v>
      </c>
      <c r="D25" s="379">
        <f t="shared" ref="D25:U25" si="21">C25*($C11^D23)</f>
        <v>2</v>
      </c>
      <c r="E25" s="379">
        <f t="shared" si="21"/>
        <v>2</v>
      </c>
      <c r="F25" s="379">
        <f t="shared" si="21"/>
        <v>2</v>
      </c>
      <c r="G25" s="379">
        <f t="shared" si="21"/>
        <v>2</v>
      </c>
      <c r="H25" s="379">
        <f t="shared" si="21"/>
        <v>2</v>
      </c>
      <c r="I25" s="379">
        <f t="shared" si="21"/>
        <v>2</v>
      </c>
      <c r="J25" s="379">
        <f t="shared" si="21"/>
        <v>2</v>
      </c>
      <c r="K25" s="379">
        <f t="shared" si="21"/>
        <v>2</v>
      </c>
      <c r="L25" s="379">
        <f t="shared" si="21"/>
        <v>2</v>
      </c>
      <c r="M25" s="379">
        <f t="shared" si="21"/>
        <v>2</v>
      </c>
      <c r="N25" s="379">
        <f t="shared" si="21"/>
        <v>2</v>
      </c>
      <c r="O25" s="379">
        <f t="shared" si="21"/>
        <v>2</v>
      </c>
      <c r="P25" s="379">
        <f t="shared" si="21"/>
        <v>2</v>
      </c>
      <c r="Q25" s="379">
        <f t="shared" si="21"/>
        <v>2</v>
      </c>
      <c r="R25" s="379">
        <f t="shared" si="21"/>
        <v>2</v>
      </c>
      <c r="S25" s="379">
        <f t="shared" si="21"/>
        <v>2</v>
      </c>
      <c r="T25" s="379">
        <f t="shared" si="21"/>
        <v>2</v>
      </c>
      <c r="U25" s="379">
        <f t="shared" si="21"/>
        <v>2</v>
      </c>
      <c r="V25" s="379">
        <f t="shared" ref="V25" si="22">U25*($C11^V23)</f>
        <v>2</v>
      </c>
      <c r="W25" s="379">
        <f t="shared" ref="W25" si="23">V25*($C11^W23)</f>
        <v>2</v>
      </c>
      <c r="X25" s="379">
        <f t="shared" ref="X25" si="24">W25*($C11^X23)</f>
        <v>2</v>
      </c>
      <c r="Y25" s="379">
        <f t="shared" ref="Y25" si="25">X25*($C11^Y23)</f>
        <v>2</v>
      </c>
      <c r="Z25" s="379">
        <f t="shared" ref="Z25" si="26">Y25*($C11^Z23)</f>
        <v>2</v>
      </c>
      <c r="AA25" s="379">
        <f t="shared" ref="AA25" si="27">Z25*($C11^AA23)</f>
        <v>2</v>
      </c>
      <c r="AB25" s="379">
        <f t="shared" ref="AB25" si="28">AA25*($C11^AB23)</f>
        <v>2</v>
      </c>
      <c r="AC25" s="13"/>
      <c r="AD25" s="13"/>
      <c r="AE25" s="13"/>
      <c r="AF25" s="13"/>
      <c r="AG25" s="13"/>
      <c r="AH25" s="13"/>
      <c r="AI25" s="13"/>
      <c r="AJ25" s="13"/>
      <c r="AK25" s="13"/>
      <c r="AL25" s="13"/>
      <c r="AM25" s="13"/>
      <c r="AN25" s="13"/>
      <c r="AO25" s="13"/>
      <c r="AP25" s="13"/>
      <c r="AQ25" s="13"/>
      <c r="AR25" s="13"/>
      <c r="AS25" s="13"/>
      <c r="AT25" s="13"/>
      <c r="AU25" s="13"/>
      <c r="AV25" s="13"/>
      <c r="AW25" s="13"/>
      <c r="AX25" s="13"/>
      <c r="AY25" s="13"/>
      <c r="AZ25" s="13"/>
      <c r="BA25" s="13"/>
      <c r="BB25" s="13"/>
      <c r="BC25" s="13"/>
      <c r="BD25" s="13"/>
      <c r="BE25" s="13"/>
      <c r="BF25" s="13"/>
      <c r="BG25" s="13"/>
      <c r="BH25" s="13"/>
      <c r="BI25" s="13"/>
      <c r="BJ25" s="13"/>
    </row>
    <row r="26" spans="1:62" s="57" customFormat="1" ht="18">
      <c r="A26" s="20"/>
      <c r="B26" s="74" t="s">
        <v>62</v>
      </c>
      <c r="C26" s="380">
        <f>C24+C25</f>
        <v>2</v>
      </c>
      <c r="D26" s="381">
        <f t="shared" ref="D26:U26" si="29">D24+D25</f>
        <v>2</v>
      </c>
      <c r="E26" s="381">
        <f t="shared" si="29"/>
        <v>2</v>
      </c>
      <c r="F26" s="381">
        <f t="shared" si="29"/>
        <v>2</v>
      </c>
      <c r="G26" s="381">
        <f t="shared" si="29"/>
        <v>2</v>
      </c>
      <c r="H26" s="381">
        <f t="shared" si="29"/>
        <v>2</v>
      </c>
      <c r="I26" s="381">
        <f t="shared" si="29"/>
        <v>2</v>
      </c>
      <c r="J26" s="381">
        <f t="shared" si="29"/>
        <v>2</v>
      </c>
      <c r="K26" s="381">
        <f t="shared" si="29"/>
        <v>2</v>
      </c>
      <c r="L26" s="381">
        <f t="shared" si="29"/>
        <v>2</v>
      </c>
      <c r="M26" s="381">
        <f t="shared" si="29"/>
        <v>2</v>
      </c>
      <c r="N26" s="381">
        <f t="shared" si="29"/>
        <v>2</v>
      </c>
      <c r="O26" s="381">
        <f t="shared" si="29"/>
        <v>2</v>
      </c>
      <c r="P26" s="381">
        <f t="shared" si="29"/>
        <v>2</v>
      </c>
      <c r="Q26" s="381">
        <f t="shared" si="29"/>
        <v>2</v>
      </c>
      <c r="R26" s="381">
        <f t="shared" si="29"/>
        <v>2</v>
      </c>
      <c r="S26" s="381">
        <f t="shared" si="29"/>
        <v>2</v>
      </c>
      <c r="T26" s="381">
        <f t="shared" si="29"/>
        <v>2</v>
      </c>
      <c r="U26" s="381">
        <f t="shared" si="29"/>
        <v>2</v>
      </c>
      <c r="V26" s="381">
        <f t="shared" ref="V26:W26" si="30">V24+V25</f>
        <v>2</v>
      </c>
      <c r="W26" s="381">
        <f t="shared" si="30"/>
        <v>2</v>
      </c>
      <c r="X26" s="381">
        <f t="shared" ref="X26:AB26" si="31">X24+X25</f>
        <v>2</v>
      </c>
      <c r="Y26" s="381">
        <f t="shared" si="31"/>
        <v>2</v>
      </c>
      <c r="Z26" s="381">
        <f t="shared" si="31"/>
        <v>2</v>
      </c>
      <c r="AA26" s="381">
        <f t="shared" si="31"/>
        <v>2</v>
      </c>
      <c r="AB26" s="381">
        <f t="shared" si="31"/>
        <v>2</v>
      </c>
      <c r="AC26" s="56"/>
      <c r="AD26" s="56"/>
      <c r="AE26" s="56"/>
      <c r="AF26" s="56"/>
      <c r="AG26" s="56"/>
      <c r="AH26" s="56"/>
      <c r="AI26" s="56"/>
      <c r="AJ26" s="56"/>
      <c r="AK26" s="56"/>
      <c r="AL26" s="56"/>
      <c r="AM26" s="56"/>
      <c r="AN26" s="56"/>
      <c r="AO26" s="56"/>
      <c r="AP26" s="56"/>
      <c r="AQ26" s="56"/>
      <c r="AR26" s="56"/>
      <c r="AS26" s="56"/>
      <c r="AT26" s="56"/>
      <c r="AU26" s="56"/>
      <c r="AV26" s="56"/>
      <c r="AW26" s="56"/>
      <c r="AX26" s="56"/>
      <c r="AY26" s="56"/>
      <c r="AZ26" s="56"/>
      <c r="BA26" s="56"/>
      <c r="BB26" s="56"/>
      <c r="BC26" s="56"/>
      <c r="BD26" s="56"/>
      <c r="BE26" s="56"/>
      <c r="BF26" s="56"/>
      <c r="BG26" s="56"/>
      <c r="BH26" s="56"/>
      <c r="BI26" s="56"/>
      <c r="BJ26" s="56"/>
    </row>
    <row r="27" spans="1:62" ht="15.75">
      <c r="B27" s="81" t="s">
        <v>138</v>
      </c>
      <c r="C27" s="422">
        <f>C26*$C$3</f>
        <v>2.1</v>
      </c>
      <c r="D27" s="422">
        <f t="shared" ref="D27" si="32">D26*$C$3</f>
        <v>2.1</v>
      </c>
      <c r="E27" s="422">
        <f t="shared" ref="E27" si="33">E26*$C$3</f>
        <v>2.1</v>
      </c>
      <c r="F27" s="422">
        <f t="shared" ref="F27" si="34">F26*$C$3</f>
        <v>2.1</v>
      </c>
      <c r="G27" s="422">
        <f t="shared" ref="G27" si="35">G26*$C$3</f>
        <v>2.1</v>
      </c>
      <c r="H27" s="423">
        <f>H26*$D$3</f>
        <v>2.04</v>
      </c>
      <c r="I27" s="423">
        <f t="shared" ref="I27" si="36">I26*$D$3</f>
        <v>2.04</v>
      </c>
      <c r="J27" s="423">
        <f t="shared" ref="J27" si="37">J26*$D$3</f>
        <v>2.04</v>
      </c>
      <c r="K27" s="423">
        <f t="shared" ref="K27" si="38">K26*$D$3</f>
        <v>2.04</v>
      </c>
      <c r="L27" s="423">
        <f t="shared" ref="L27" si="39">L26*$D$3</f>
        <v>2.04</v>
      </c>
      <c r="M27" s="423">
        <f t="shared" ref="M27" si="40">M26*$D$3</f>
        <v>2.04</v>
      </c>
      <c r="N27" s="423">
        <f t="shared" ref="N27" si="41">N26*$D$3</f>
        <v>2.04</v>
      </c>
      <c r="O27" s="423">
        <f t="shared" ref="O27" si="42">O26*$D$3</f>
        <v>2.04</v>
      </c>
      <c r="P27" s="423">
        <f t="shared" ref="P27" si="43">P26*$D$3</f>
        <v>2.04</v>
      </c>
      <c r="Q27" s="423">
        <f t="shared" ref="Q27" si="44">Q26*$D$3</f>
        <v>2.04</v>
      </c>
      <c r="R27" s="423">
        <f t="shared" ref="R27" si="45">R26*$D$3</f>
        <v>2.04</v>
      </c>
      <c r="S27" s="423">
        <f t="shared" ref="S27" si="46">S26*$D$3</f>
        <v>2.04</v>
      </c>
      <c r="T27" s="423">
        <f t="shared" ref="T27" si="47">T26*$D$3</f>
        <v>2.04</v>
      </c>
      <c r="U27" s="423">
        <f t="shared" ref="U27" si="48">U26*$D$3</f>
        <v>2.04</v>
      </c>
      <c r="V27" s="423">
        <f t="shared" ref="V27" si="49">V26*$D$3</f>
        <v>2.04</v>
      </c>
      <c r="W27" s="423">
        <f t="shared" ref="W27" si="50">W26*$D$3</f>
        <v>2.04</v>
      </c>
      <c r="X27" s="423">
        <f t="shared" ref="X27" si="51">X26*$D$3</f>
        <v>2.04</v>
      </c>
      <c r="Y27" s="423">
        <f t="shared" ref="Y27" si="52">Y26*$D$3</f>
        <v>2.04</v>
      </c>
      <c r="Z27" s="423">
        <f t="shared" ref="Z27" si="53">Z26*$D$3</f>
        <v>2.04</v>
      </c>
      <c r="AA27" s="423">
        <f t="shared" ref="AA27" si="54">AA26*$D$3</f>
        <v>2.04</v>
      </c>
      <c r="AB27" s="423">
        <f t="shared" ref="AB27" si="55">AB26*$D$3</f>
        <v>2.04</v>
      </c>
      <c r="AC27" s="8"/>
      <c r="AD27" s="8"/>
      <c r="AE27" s="8"/>
      <c r="AF27" s="8"/>
      <c r="AG27" s="8"/>
      <c r="AH27" s="8"/>
      <c r="AI27" s="8"/>
      <c r="AJ27" s="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row>
    <row r="28" spans="1:62" ht="16.5" thickBot="1">
      <c r="B28" s="75" t="s">
        <v>139</v>
      </c>
      <c r="C28" s="424">
        <f>C26*$C$4</f>
        <v>2.4</v>
      </c>
      <c r="D28" s="424">
        <f t="shared" ref="D28:G28" si="56">D26*$C$4</f>
        <v>2.4</v>
      </c>
      <c r="E28" s="424">
        <f t="shared" si="56"/>
        <v>2.4</v>
      </c>
      <c r="F28" s="424">
        <f t="shared" si="56"/>
        <v>2.4</v>
      </c>
      <c r="G28" s="424">
        <f t="shared" si="56"/>
        <v>2.4</v>
      </c>
      <c r="H28" s="425">
        <f>H26*$D$4</f>
        <v>2.1</v>
      </c>
      <c r="I28" s="425">
        <f t="shared" ref="I28:W28" si="57">I26*$D$4</f>
        <v>2.1</v>
      </c>
      <c r="J28" s="425">
        <f t="shared" si="57"/>
        <v>2.1</v>
      </c>
      <c r="K28" s="425">
        <f t="shared" si="57"/>
        <v>2.1</v>
      </c>
      <c r="L28" s="425">
        <f t="shared" si="57"/>
        <v>2.1</v>
      </c>
      <c r="M28" s="425">
        <f t="shared" si="57"/>
        <v>2.1</v>
      </c>
      <c r="N28" s="425">
        <f t="shared" si="57"/>
        <v>2.1</v>
      </c>
      <c r="O28" s="425">
        <f t="shared" si="57"/>
        <v>2.1</v>
      </c>
      <c r="P28" s="425">
        <f t="shared" si="57"/>
        <v>2.1</v>
      </c>
      <c r="Q28" s="425">
        <f t="shared" si="57"/>
        <v>2.1</v>
      </c>
      <c r="R28" s="425">
        <f t="shared" si="57"/>
        <v>2.1</v>
      </c>
      <c r="S28" s="425">
        <f t="shared" si="57"/>
        <v>2.1</v>
      </c>
      <c r="T28" s="425">
        <f t="shared" si="57"/>
        <v>2.1</v>
      </c>
      <c r="U28" s="425">
        <f t="shared" si="57"/>
        <v>2.1</v>
      </c>
      <c r="V28" s="425">
        <f t="shared" si="57"/>
        <v>2.1</v>
      </c>
      <c r="W28" s="425">
        <f t="shared" si="57"/>
        <v>2.1</v>
      </c>
      <c r="X28" s="425">
        <f t="shared" ref="X28:AB28" si="58">X26*$D$4</f>
        <v>2.1</v>
      </c>
      <c r="Y28" s="425">
        <f t="shared" si="58"/>
        <v>2.1</v>
      </c>
      <c r="Z28" s="425">
        <f t="shared" si="58"/>
        <v>2.1</v>
      </c>
      <c r="AA28" s="425">
        <f t="shared" si="58"/>
        <v>2.1</v>
      </c>
      <c r="AB28" s="425">
        <f t="shared" si="58"/>
        <v>2.1</v>
      </c>
      <c r="AC28" s="8"/>
      <c r="AD28" s="8"/>
      <c r="AE28" s="8"/>
      <c r="AF28" s="8"/>
      <c r="AG28" s="8"/>
      <c r="AH28" s="8"/>
      <c r="AI28" s="8"/>
      <c r="AJ28" s="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row>
    <row r="29" spans="1:62" ht="15.75" thickBot="1">
      <c r="B29" s="17"/>
      <c r="L29" s="8"/>
      <c r="M29" s="8"/>
      <c r="N29" s="8"/>
      <c r="O29" s="8"/>
      <c r="P29" s="8"/>
      <c r="Q29" s="8"/>
      <c r="R29" s="8"/>
      <c r="S29" s="8"/>
      <c r="T29" s="8"/>
      <c r="U29" s="112"/>
      <c r="V29" s="112"/>
      <c r="W29" s="112"/>
      <c r="X29" s="112"/>
      <c r="Y29" s="112"/>
      <c r="Z29" s="112"/>
      <c r="AA29" s="112"/>
      <c r="AB29" s="112"/>
      <c r="AC29" s="8"/>
      <c r="AD29" s="8"/>
      <c r="AE29" s="8"/>
      <c r="AF29" s="8"/>
      <c r="AG29" s="8"/>
      <c r="AH29" s="8"/>
      <c r="AI29" s="8"/>
      <c r="AJ29" s="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row>
    <row r="30" spans="1:62" s="21" customFormat="1" ht="18.75" customHeight="1" thickBot="1">
      <c r="A30" s="22"/>
      <c r="B30" s="382" t="s">
        <v>63</v>
      </c>
      <c r="C30" s="386"/>
      <c r="D30" s="386"/>
      <c r="E30" s="386"/>
      <c r="F30" s="386"/>
      <c r="G30" s="386"/>
      <c r="H30" s="386"/>
      <c r="I30" s="386"/>
      <c r="J30" s="386"/>
      <c r="K30" s="386"/>
      <c r="L30" s="386"/>
      <c r="M30" s="386"/>
      <c r="N30" s="386"/>
      <c r="O30" s="386"/>
      <c r="P30" s="386"/>
      <c r="Q30" s="386"/>
      <c r="R30" s="386"/>
      <c r="S30" s="386"/>
      <c r="T30" s="386"/>
      <c r="U30" s="386"/>
      <c r="V30" s="386"/>
      <c r="W30" s="386"/>
      <c r="X30" s="386"/>
      <c r="Y30" s="386"/>
      <c r="Z30" s="386"/>
      <c r="AA30" s="386"/>
      <c r="AB30" s="386"/>
      <c r="AC30" s="22"/>
      <c r="AD30" s="22"/>
      <c r="AE30" s="22"/>
      <c r="AF30" s="22"/>
      <c r="AG30" s="22"/>
      <c r="AH30" s="22"/>
      <c r="AI30" s="22"/>
      <c r="AJ30" s="22"/>
      <c r="AK30" s="22"/>
      <c r="AL30" s="22"/>
      <c r="AM30" s="22"/>
      <c r="AN30" s="22"/>
      <c r="AO30" s="22"/>
      <c r="AP30" s="22"/>
      <c r="AQ30" s="22"/>
      <c r="AR30" s="22"/>
      <c r="AS30" s="22"/>
      <c r="AT30" s="22"/>
      <c r="AU30" s="22"/>
      <c r="AV30" s="22"/>
      <c r="AW30" s="22"/>
      <c r="AX30" s="22"/>
      <c r="AY30" s="22"/>
      <c r="AZ30" s="22"/>
      <c r="BA30" s="22"/>
      <c r="BB30" s="22"/>
      <c r="BC30" s="22"/>
      <c r="BD30" s="22"/>
      <c r="BE30" s="22"/>
      <c r="BF30" s="22"/>
      <c r="BG30" s="22"/>
      <c r="BH30" s="22"/>
      <c r="BI30" s="22"/>
      <c r="BJ30" s="22"/>
    </row>
    <row r="31" spans="1:62" s="21" customFormat="1" ht="18.75" customHeight="1" thickBot="1">
      <c r="A31" s="22"/>
      <c r="B31" s="113"/>
      <c r="L31" s="22"/>
      <c r="M31" s="22"/>
      <c r="N31" s="22"/>
      <c r="O31" s="22"/>
      <c r="P31" s="22"/>
      <c r="Q31" s="22"/>
      <c r="R31" s="22"/>
      <c r="S31" s="22"/>
      <c r="T31" s="22"/>
      <c r="U31" s="22"/>
      <c r="V31" s="22"/>
      <c r="W31" s="22"/>
      <c r="X31" s="22"/>
      <c r="Y31" s="22"/>
      <c r="Z31" s="22"/>
      <c r="AA31" s="22"/>
      <c r="AB31" s="22"/>
      <c r="AC31" s="22"/>
      <c r="AD31" s="22"/>
      <c r="AE31" s="22"/>
      <c r="AF31" s="22"/>
      <c r="AG31" s="22"/>
      <c r="AH31" s="22"/>
      <c r="AI31" s="22"/>
      <c r="AJ31" s="22"/>
      <c r="AK31" s="22"/>
      <c r="AL31" s="22"/>
      <c r="AM31" s="22"/>
      <c r="AN31" s="22"/>
      <c r="AO31" s="22"/>
      <c r="AP31" s="22"/>
      <c r="AQ31" s="22"/>
      <c r="AR31" s="22"/>
      <c r="AS31" s="22"/>
      <c r="AT31" s="22"/>
      <c r="AU31" s="22"/>
      <c r="AV31" s="22"/>
      <c r="AW31" s="22"/>
      <c r="AX31" s="22"/>
      <c r="AY31" s="22"/>
      <c r="AZ31" s="22"/>
      <c r="BA31" s="22"/>
      <c r="BB31" s="22"/>
      <c r="BC31" s="22"/>
      <c r="BD31" s="22"/>
      <c r="BE31" s="22"/>
      <c r="BF31" s="22"/>
      <c r="BG31" s="22"/>
      <c r="BH31" s="22"/>
      <c r="BI31" s="22"/>
      <c r="BJ31" s="22"/>
    </row>
    <row r="32" spans="1:62" ht="15.75">
      <c r="B32" s="70" t="s">
        <v>200</v>
      </c>
      <c r="C32" s="59"/>
      <c r="D32" s="59"/>
      <c r="E32" s="59"/>
      <c r="F32" s="59"/>
      <c r="G32" s="59"/>
      <c r="H32" s="59"/>
      <c r="I32" s="59"/>
      <c r="J32" s="59"/>
      <c r="K32" s="60"/>
      <c r="L32" s="59"/>
      <c r="M32" s="59"/>
      <c r="N32" s="59"/>
      <c r="O32" s="59"/>
      <c r="P32" s="59"/>
      <c r="Q32" s="59"/>
      <c r="R32" s="59"/>
      <c r="S32" s="59"/>
      <c r="T32" s="59"/>
      <c r="U32" s="132"/>
      <c r="V32" s="132"/>
      <c r="W32" s="132"/>
      <c r="X32" s="132"/>
      <c r="Y32" s="132"/>
      <c r="Z32" s="132"/>
      <c r="AA32" s="132"/>
      <c r="AB32" s="132"/>
      <c r="AC32" s="8"/>
      <c r="AD32" s="8"/>
      <c r="AE32" s="8"/>
      <c r="AF32" s="8"/>
      <c r="AG32" s="8"/>
      <c r="AH32" s="8"/>
      <c r="AI32" s="8"/>
      <c r="AJ32" s="8"/>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row>
    <row r="33" spans="1:62" ht="15.75">
      <c r="B33" s="71" t="s">
        <v>58</v>
      </c>
      <c r="C33" s="42">
        <v>0</v>
      </c>
      <c r="D33" s="34">
        <v>1</v>
      </c>
      <c r="E33" s="34">
        <f>D33+1</f>
        <v>2</v>
      </c>
      <c r="F33" s="34">
        <f>E33+1</f>
        <v>3</v>
      </c>
      <c r="G33" s="34">
        <f>F33+1</f>
        <v>4</v>
      </c>
      <c r="H33" s="34">
        <f>G33+1</f>
        <v>5</v>
      </c>
      <c r="I33" s="34">
        <v>6</v>
      </c>
      <c r="J33" s="34">
        <v>7</v>
      </c>
      <c r="K33" s="42">
        <v>8</v>
      </c>
      <c r="L33" s="34">
        <v>9</v>
      </c>
      <c r="M33" s="42">
        <v>10</v>
      </c>
      <c r="N33" s="34">
        <v>11</v>
      </c>
      <c r="O33" s="42">
        <v>12</v>
      </c>
      <c r="P33" s="34">
        <v>13</v>
      </c>
      <c r="Q33" s="42">
        <v>14</v>
      </c>
      <c r="R33" s="34">
        <v>15</v>
      </c>
      <c r="S33" s="42">
        <v>16</v>
      </c>
      <c r="T33" s="34">
        <v>17</v>
      </c>
      <c r="U33" s="126">
        <v>18</v>
      </c>
      <c r="V33" s="126">
        <v>19</v>
      </c>
      <c r="W33" s="126">
        <v>20</v>
      </c>
      <c r="X33" s="126">
        <v>21</v>
      </c>
      <c r="Y33" s="126">
        <v>22</v>
      </c>
      <c r="Z33" s="126">
        <v>23</v>
      </c>
      <c r="AA33" s="126">
        <v>24</v>
      </c>
      <c r="AB33" s="126">
        <v>25</v>
      </c>
      <c r="AC33" s="8"/>
      <c r="AD33" s="8"/>
      <c r="AE33" s="8"/>
      <c r="AF33" s="8"/>
      <c r="AG33" s="8"/>
      <c r="AH33" s="8"/>
      <c r="AI33" s="8"/>
      <c r="AJ33" s="8"/>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row>
    <row r="34" spans="1:62" s="23" customFormat="1" ht="15.75">
      <c r="A34" s="8"/>
      <c r="B34" s="72" t="s">
        <v>59</v>
      </c>
      <c r="C34" s="37">
        <v>5</v>
      </c>
      <c r="D34" s="36">
        <f t="shared" ref="D34:U34" si="59">C34*($C11^D33)</f>
        <v>5</v>
      </c>
      <c r="E34" s="36">
        <f t="shared" si="59"/>
        <v>5</v>
      </c>
      <c r="F34" s="36">
        <f t="shared" si="59"/>
        <v>5</v>
      </c>
      <c r="G34" s="36">
        <f t="shared" si="59"/>
        <v>5</v>
      </c>
      <c r="H34" s="36">
        <f t="shared" si="59"/>
        <v>5</v>
      </c>
      <c r="I34" s="36">
        <f t="shared" si="59"/>
        <v>5</v>
      </c>
      <c r="J34" s="36">
        <f t="shared" si="59"/>
        <v>5</v>
      </c>
      <c r="K34" s="36">
        <f t="shared" si="59"/>
        <v>5</v>
      </c>
      <c r="L34" s="36">
        <f t="shared" si="59"/>
        <v>5</v>
      </c>
      <c r="M34" s="36">
        <f t="shared" si="59"/>
        <v>5</v>
      </c>
      <c r="N34" s="36">
        <f t="shared" si="59"/>
        <v>5</v>
      </c>
      <c r="O34" s="36">
        <f t="shared" si="59"/>
        <v>5</v>
      </c>
      <c r="P34" s="36">
        <f t="shared" si="59"/>
        <v>5</v>
      </c>
      <c r="Q34" s="36">
        <f t="shared" si="59"/>
        <v>5</v>
      </c>
      <c r="R34" s="36">
        <f t="shared" si="59"/>
        <v>5</v>
      </c>
      <c r="S34" s="36">
        <f t="shared" si="59"/>
        <v>5</v>
      </c>
      <c r="T34" s="36">
        <f t="shared" si="59"/>
        <v>5</v>
      </c>
      <c r="U34" s="128">
        <f t="shared" si="59"/>
        <v>5</v>
      </c>
      <c r="V34" s="128">
        <f t="shared" ref="V34" si="60">U34*($C11^V33)</f>
        <v>5</v>
      </c>
      <c r="W34" s="128">
        <f t="shared" ref="W34" si="61">V34*($C11^W33)</f>
        <v>5</v>
      </c>
      <c r="X34" s="128">
        <f t="shared" ref="X34" si="62">W34*($C11^X33)</f>
        <v>5</v>
      </c>
      <c r="Y34" s="128">
        <f t="shared" ref="Y34" si="63">X34*($C11^Y33)</f>
        <v>5</v>
      </c>
      <c r="Z34" s="128">
        <f t="shared" ref="Z34" si="64">Y34*($C11^Z33)</f>
        <v>5</v>
      </c>
      <c r="AA34" s="128">
        <f t="shared" ref="AA34" si="65">Z34*($C11^AA33)</f>
        <v>5</v>
      </c>
      <c r="AB34" s="128">
        <f t="shared" ref="AB34" si="66">AA34*($C11^AB33)</f>
        <v>5</v>
      </c>
      <c r="AC34" s="8"/>
      <c r="AD34" s="8"/>
      <c r="AE34" s="8"/>
      <c r="AF34" s="8"/>
      <c r="AG34" s="8"/>
      <c r="AH34" s="8"/>
      <c r="AI34" s="8"/>
      <c r="AJ34" s="8"/>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row>
    <row r="35" spans="1:62" ht="15.75">
      <c r="B35" s="71" t="s">
        <v>60</v>
      </c>
      <c r="C35" s="68">
        <v>1</v>
      </c>
      <c r="D35" s="38">
        <f t="shared" ref="D35:U35" si="67">C35*($C11^D33)</f>
        <v>1</v>
      </c>
      <c r="E35" s="38">
        <f t="shared" si="67"/>
        <v>1</v>
      </c>
      <c r="F35" s="38">
        <f t="shared" si="67"/>
        <v>1</v>
      </c>
      <c r="G35" s="38">
        <f t="shared" si="67"/>
        <v>1</v>
      </c>
      <c r="H35" s="38">
        <f t="shared" si="67"/>
        <v>1</v>
      </c>
      <c r="I35" s="38">
        <f t="shared" si="67"/>
        <v>1</v>
      </c>
      <c r="J35" s="38">
        <f t="shared" si="67"/>
        <v>1</v>
      </c>
      <c r="K35" s="38">
        <f t="shared" si="67"/>
        <v>1</v>
      </c>
      <c r="L35" s="38">
        <f t="shared" si="67"/>
        <v>1</v>
      </c>
      <c r="M35" s="38">
        <f t="shared" si="67"/>
        <v>1</v>
      </c>
      <c r="N35" s="38">
        <f t="shared" si="67"/>
        <v>1</v>
      </c>
      <c r="O35" s="38">
        <f t="shared" si="67"/>
        <v>1</v>
      </c>
      <c r="P35" s="38">
        <f t="shared" si="67"/>
        <v>1</v>
      </c>
      <c r="Q35" s="38">
        <f t="shared" si="67"/>
        <v>1</v>
      </c>
      <c r="R35" s="38">
        <f t="shared" si="67"/>
        <v>1</v>
      </c>
      <c r="S35" s="38">
        <f t="shared" si="67"/>
        <v>1</v>
      </c>
      <c r="T35" s="38">
        <f t="shared" si="67"/>
        <v>1</v>
      </c>
      <c r="U35" s="38">
        <f t="shared" si="67"/>
        <v>1</v>
      </c>
      <c r="V35" s="38">
        <f t="shared" ref="V35" si="68">U35*($C11^V33)</f>
        <v>1</v>
      </c>
      <c r="W35" s="38">
        <f t="shared" ref="W35" si="69">V35*($C11^W33)</f>
        <v>1</v>
      </c>
      <c r="X35" s="38">
        <f t="shared" ref="X35" si="70">W35*($C11^X33)</f>
        <v>1</v>
      </c>
      <c r="Y35" s="38">
        <f t="shared" ref="Y35" si="71">X35*($C11^Y33)</f>
        <v>1</v>
      </c>
      <c r="Z35" s="38">
        <f t="shared" ref="Z35" si="72">Y35*($C11^Z33)</f>
        <v>1</v>
      </c>
      <c r="AA35" s="38">
        <f t="shared" ref="AA35" si="73">Z35*($C11^AA33)</f>
        <v>1</v>
      </c>
      <c r="AB35" s="38">
        <f t="shared" ref="AB35" si="74">AA35*($C11^AB33)</f>
        <v>1</v>
      </c>
      <c r="AC35" s="8"/>
      <c r="AD35" s="8"/>
      <c r="AE35" s="8"/>
      <c r="AF35" s="8"/>
      <c r="AG35" s="8"/>
      <c r="AH35" s="8"/>
      <c r="AI35" s="8"/>
      <c r="AJ35" s="8"/>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row>
    <row r="36" spans="1:62" s="25" customFormat="1">
      <c r="A36" s="24"/>
      <c r="B36" s="74" t="s">
        <v>64</v>
      </c>
      <c r="C36" s="69">
        <f>C34+C35</f>
        <v>6</v>
      </c>
      <c r="D36" s="55">
        <f t="shared" ref="D36:U36" si="75">D34+D35</f>
        <v>6</v>
      </c>
      <c r="E36" s="55">
        <f t="shared" si="75"/>
        <v>6</v>
      </c>
      <c r="F36" s="55">
        <f t="shared" si="75"/>
        <v>6</v>
      </c>
      <c r="G36" s="55">
        <f t="shared" si="75"/>
        <v>6</v>
      </c>
      <c r="H36" s="55">
        <f t="shared" si="75"/>
        <v>6</v>
      </c>
      <c r="I36" s="55">
        <f t="shared" si="75"/>
        <v>6</v>
      </c>
      <c r="J36" s="55">
        <f t="shared" si="75"/>
        <v>6</v>
      </c>
      <c r="K36" s="58">
        <f t="shared" si="75"/>
        <v>6</v>
      </c>
      <c r="L36" s="58">
        <f t="shared" si="75"/>
        <v>6</v>
      </c>
      <c r="M36" s="58">
        <f t="shared" si="75"/>
        <v>6</v>
      </c>
      <c r="N36" s="58">
        <f t="shared" si="75"/>
        <v>6</v>
      </c>
      <c r="O36" s="58">
        <f t="shared" si="75"/>
        <v>6</v>
      </c>
      <c r="P36" s="58">
        <f t="shared" si="75"/>
        <v>6</v>
      </c>
      <c r="Q36" s="58">
        <f t="shared" si="75"/>
        <v>6</v>
      </c>
      <c r="R36" s="58">
        <f t="shared" si="75"/>
        <v>6</v>
      </c>
      <c r="S36" s="58">
        <f t="shared" si="75"/>
        <v>6</v>
      </c>
      <c r="T36" s="58">
        <f t="shared" si="75"/>
        <v>6</v>
      </c>
      <c r="U36" s="131">
        <f t="shared" si="75"/>
        <v>6</v>
      </c>
      <c r="V36" s="131">
        <f t="shared" ref="V36:W36" si="76">V34+V35</f>
        <v>6</v>
      </c>
      <c r="W36" s="131">
        <f t="shared" si="76"/>
        <v>6</v>
      </c>
      <c r="X36" s="131">
        <f t="shared" ref="X36:AB36" si="77">X34+X35</f>
        <v>6</v>
      </c>
      <c r="Y36" s="131">
        <f t="shared" si="77"/>
        <v>6</v>
      </c>
      <c r="Z36" s="131">
        <f t="shared" si="77"/>
        <v>6</v>
      </c>
      <c r="AA36" s="131">
        <f t="shared" si="77"/>
        <v>6</v>
      </c>
      <c r="AB36" s="131">
        <f t="shared" si="77"/>
        <v>6</v>
      </c>
      <c r="AC36" s="24"/>
      <c r="AD36" s="24"/>
      <c r="AE36" s="24"/>
      <c r="AF36" s="24"/>
      <c r="AG36" s="24"/>
      <c r="AH36" s="24"/>
      <c r="AI36" s="24"/>
      <c r="AJ36" s="24"/>
      <c r="AK36" s="24"/>
      <c r="AL36" s="24"/>
      <c r="AM36" s="24"/>
      <c r="AN36" s="24"/>
      <c r="AO36" s="24"/>
      <c r="AP36" s="24"/>
      <c r="AQ36" s="24"/>
      <c r="AR36" s="24"/>
      <c r="AS36" s="24"/>
      <c r="AT36" s="24"/>
      <c r="AU36" s="24"/>
      <c r="AV36" s="24"/>
      <c r="AW36" s="24"/>
      <c r="AX36" s="24"/>
      <c r="AY36" s="24"/>
      <c r="AZ36" s="24"/>
      <c r="BA36" s="24"/>
      <c r="BB36" s="24"/>
      <c r="BC36" s="24"/>
      <c r="BD36" s="24"/>
      <c r="BE36" s="24"/>
      <c r="BF36" s="24"/>
      <c r="BG36" s="24"/>
      <c r="BH36" s="24"/>
      <c r="BI36" s="24"/>
      <c r="BJ36" s="24"/>
    </row>
    <row r="37" spans="1:62" s="26" customFormat="1" ht="15.75">
      <c r="A37" s="8"/>
      <c r="B37" s="81" t="s">
        <v>138</v>
      </c>
      <c r="C37" s="422">
        <f>C36*$C$3</f>
        <v>6.3000000000000007</v>
      </c>
      <c r="D37" s="422">
        <f t="shared" ref="D37" si="78">D36*$C$3</f>
        <v>6.3000000000000007</v>
      </c>
      <c r="E37" s="422">
        <f t="shared" ref="E37" si="79">E36*$C$3</f>
        <v>6.3000000000000007</v>
      </c>
      <c r="F37" s="422">
        <f t="shared" ref="F37" si="80">F36*$C$3</f>
        <v>6.3000000000000007</v>
      </c>
      <c r="G37" s="422">
        <f t="shared" ref="G37" si="81">G36*$C$3</f>
        <v>6.3000000000000007</v>
      </c>
      <c r="H37" s="423">
        <f>H36*$D$3</f>
        <v>6.12</v>
      </c>
      <c r="I37" s="423">
        <f t="shared" ref="I37" si="82">I36*$D$3</f>
        <v>6.12</v>
      </c>
      <c r="J37" s="423">
        <f t="shared" ref="J37" si="83">J36*$D$3</f>
        <v>6.12</v>
      </c>
      <c r="K37" s="423">
        <f t="shared" ref="K37" si="84">K36*$D$3</f>
        <v>6.12</v>
      </c>
      <c r="L37" s="423">
        <f t="shared" ref="L37" si="85">L36*$D$3</f>
        <v>6.12</v>
      </c>
      <c r="M37" s="423">
        <f t="shared" ref="M37" si="86">M36*$D$3</f>
        <v>6.12</v>
      </c>
      <c r="N37" s="423">
        <f t="shared" ref="N37" si="87">N36*$D$3</f>
        <v>6.12</v>
      </c>
      <c r="O37" s="423">
        <f t="shared" ref="O37" si="88">O36*$D$3</f>
        <v>6.12</v>
      </c>
      <c r="P37" s="423">
        <f t="shared" ref="P37" si="89">P36*$D$3</f>
        <v>6.12</v>
      </c>
      <c r="Q37" s="423">
        <f t="shared" ref="Q37" si="90">Q36*$D$3</f>
        <v>6.12</v>
      </c>
      <c r="R37" s="423">
        <f t="shared" ref="R37" si="91">R36*$D$3</f>
        <v>6.12</v>
      </c>
      <c r="S37" s="423">
        <f t="shared" ref="S37" si="92">S36*$D$3</f>
        <v>6.12</v>
      </c>
      <c r="T37" s="423">
        <f t="shared" ref="T37" si="93">T36*$D$3</f>
        <v>6.12</v>
      </c>
      <c r="U37" s="423">
        <f t="shared" ref="U37" si="94">U36*$D$3</f>
        <v>6.12</v>
      </c>
      <c r="V37" s="423">
        <f t="shared" ref="V37" si="95">V36*$D$3</f>
        <v>6.12</v>
      </c>
      <c r="W37" s="423">
        <f t="shared" ref="W37" si="96">W36*$D$3</f>
        <v>6.12</v>
      </c>
      <c r="X37" s="423">
        <f t="shared" ref="X37" si="97">X36*$D$3</f>
        <v>6.12</v>
      </c>
      <c r="Y37" s="423">
        <f t="shared" ref="Y37" si="98">Y36*$D$3</f>
        <v>6.12</v>
      </c>
      <c r="Z37" s="423">
        <f t="shared" ref="Z37" si="99">Z36*$D$3</f>
        <v>6.12</v>
      </c>
      <c r="AA37" s="423">
        <f t="shared" ref="AA37" si="100">AA36*$D$3</f>
        <v>6.12</v>
      </c>
      <c r="AB37" s="423">
        <f t="shared" ref="AB37" si="101">AB36*$D$3</f>
        <v>6.12</v>
      </c>
      <c r="AC37" s="8"/>
      <c r="AD37" s="8"/>
      <c r="AE37" s="8"/>
      <c r="AF37" s="8"/>
      <c r="AG37" s="8"/>
      <c r="AH37" s="8"/>
      <c r="AI37" s="8"/>
      <c r="AJ37" s="8"/>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row>
    <row r="38" spans="1:62" s="26" customFormat="1" ht="16.5" thickBot="1">
      <c r="A38" s="8"/>
      <c r="B38" s="75" t="s">
        <v>139</v>
      </c>
      <c r="C38" s="424">
        <f>C36*$C$4</f>
        <v>7.1999999999999993</v>
      </c>
      <c r="D38" s="424">
        <f t="shared" ref="D38:G38" si="102">D36*$C$4</f>
        <v>7.1999999999999993</v>
      </c>
      <c r="E38" s="424">
        <f t="shared" si="102"/>
        <v>7.1999999999999993</v>
      </c>
      <c r="F38" s="424">
        <f t="shared" si="102"/>
        <v>7.1999999999999993</v>
      </c>
      <c r="G38" s="424">
        <f t="shared" si="102"/>
        <v>7.1999999999999993</v>
      </c>
      <c r="H38" s="425">
        <f>H36*$D$4</f>
        <v>6.3000000000000007</v>
      </c>
      <c r="I38" s="425">
        <f t="shared" ref="I38:W38" si="103">I36*$D$4</f>
        <v>6.3000000000000007</v>
      </c>
      <c r="J38" s="425">
        <f t="shared" si="103"/>
        <v>6.3000000000000007</v>
      </c>
      <c r="K38" s="425">
        <f t="shared" si="103"/>
        <v>6.3000000000000007</v>
      </c>
      <c r="L38" s="425">
        <f t="shared" si="103"/>
        <v>6.3000000000000007</v>
      </c>
      <c r="M38" s="425">
        <f t="shared" si="103"/>
        <v>6.3000000000000007</v>
      </c>
      <c r="N38" s="425">
        <f t="shared" si="103"/>
        <v>6.3000000000000007</v>
      </c>
      <c r="O38" s="425">
        <f t="shared" si="103"/>
        <v>6.3000000000000007</v>
      </c>
      <c r="P38" s="425">
        <f t="shared" si="103"/>
        <v>6.3000000000000007</v>
      </c>
      <c r="Q38" s="425">
        <f t="shared" si="103"/>
        <v>6.3000000000000007</v>
      </c>
      <c r="R38" s="425">
        <f t="shared" si="103"/>
        <v>6.3000000000000007</v>
      </c>
      <c r="S38" s="425">
        <f t="shared" si="103"/>
        <v>6.3000000000000007</v>
      </c>
      <c r="T38" s="425">
        <f t="shared" si="103"/>
        <v>6.3000000000000007</v>
      </c>
      <c r="U38" s="425">
        <f t="shared" si="103"/>
        <v>6.3000000000000007</v>
      </c>
      <c r="V38" s="425">
        <f t="shared" si="103"/>
        <v>6.3000000000000007</v>
      </c>
      <c r="W38" s="425">
        <f t="shared" si="103"/>
        <v>6.3000000000000007</v>
      </c>
      <c r="X38" s="425">
        <f t="shared" ref="X38:AB38" si="104">X36*$D$4</f>
        <v>6.3000000000000007</v>
      </c>
      <c r="Y38" s="425">
        <f t="shared" si="104"/>
        <v>6.3000000000000007</v>
      </c>
      <c r="Z38" s="425">
        <f t="shared" si="104"/>
        <v>6.3000000000000007</v>
      </c>
      <c r="AA38" s="425">
        <f t="shared" si="104"/>
        <v>6.3000000000000007</v>
      </c>
      <c r="AB38" s="425">
        <f t="shared" si="104"/>
        <v>6.3000000000000007</v>
      </c>
      <c r="AC38" s="8"/>
      <c r="AD38" s="8"/>
      <c r="AE38" s="8"/>
      <c r="AF38" s="8"/>
      <c r="AG38" s="8"/>
      <c r="AH38" s="8"/>
      <c r="AI38" s="8"/>
      <c r="AJ38" s="8"/>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row>
    <row r="39" spans="1:62" ht="15.75" thickBot="1">
      <c r="B39" s="17"/>
      <c r="L39" s="8"/>
      <c r="M39" s="8"/>
      <c r="N39" s="8"/>
      <c r="O39" s="8"/>
      <c r="P39" s="8"/>
      <c r="Q39" s="8"/>
      <c r="R39" s="8"/>
      <c r="S39" s="8"/>
      <c r="T39" s="8"/>
      <c r="U39" s="112"/>
      <c r="V39" s="112"/>
      <c r="W39" s="112"/>
      <c r="X39" s="112"/>
      <c r="Y39" s="112"/>
      <c r="Z39" s="112"/>
      <c r="AA39" s="112"/>
      <c r="AB39" s="112"/>
      <c r="AC39" s="8"/>
      <c r="AD39" s="8"/>
      <c r="AE39" s="8"/>
      <c r="AF39" s="8"/>
      <c r="AG39" s="8"/>
      <c r="AH39" s="8"/>
      <c r="AI39" s="8"/>
      <c r="AJ39" s="8"/>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row>
    <row r="40" spans="1:62" ht="15.75">
      <c r="B40" s="43" t="s">
        <v>203</v>
      </c>
      <c r="C40" s="44"/>
      <c r="D40" s="44"/>
      <c r="E40" s="44"/>
      <c r="F40" s="44"/>
      <c r="G40" s="44"/>
      <c r="H40" s="44"/>
      <c r="I40" s="44"/>
      <c r="J40" s="44"/>
      <c r="K40" s="45"/>
      <c r="L40" s="44"/>
      <c r="M40" s="44"/>
      <c r="N40" s="44"/>
      <c r="O40" s="44"/>
      <c r="P40" s="44"/>
      <c r="Q40" s="44"/>
      <c r="R40" s="44"/>
      <c r="S40" s="44"/>
      <c r="T40" s="44"/>
      <c r="U40" s="44"/>
      <c r="V40" s="44"/>
      <c r="W40" s="44"/>
      <c r="X40" s="44"/>
      <c r="Y40" s="44"/>
      <c r="Z40" s="44"/>
      <c r="AA40" s="44"/>
      <c r="AB40" s="44"/>
      <c r="AC40" s="8"/>
      <c r="AD40" s="8"/>
      <c r="AE40" s="8"/>
      <c r="AF40" s="8"/>
      <c r="AG40" s="8"/>
      <c r="AH40" s="8"/>
      <c r="AI40" s="8"/>
      <c r="AJ40" s="8"/>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row>
    <row r="41" spans="1:62" ht="15.75">
      <c r="B41" s="46" t="s">
        <v>58</v>
      </c>
      <c r="C41" s="47">
        <v>0</v>
      </c>
      <c r="D41" s="47">
        <v>1</v>
      </c>
      <c r="E41" s="47">
        <f>D41+1</f>
        <v>2</v>
      </c>
      <c r="F41" s="47">
        <f>E41+1</f>
        <v>3</v>
      </c>
      <c r="G41" s="47">
        <f>F41+1</f>
        <v>4</v>
      </c>
      <c r="H41" s="47">
        <f>G41+1</f>
        <v>5</v>
      </c>
      <c r="I41" s="47">
        <v>6</v>
      </c>
      <c r="J41" s="47">
        <v>7</v>
      </c>
      <c r="K41" s="49">
        <v>8</v>
      </c>
      <c r="L41" s="47">
        <v>9</v>
      </c>
      <c r="M41" s="49">
        <v>10</v>
      </c>
      <c r="N41" s="47">
        <v>11</v>
      </c>
      <c r="O41" s="49">
        <v>12</v>
      </c>
      <c r="P41" s="47">
        <v>13</v>
      </c>
      <c r="Q41" s="49">
        <v>14</v>
      </c>
      <c r="R41" s="47">
        <v>15</v>
      </c>
      <c r="S41" s="49">
        <v>16</v>
      </c>
      <c r="T41" s="47">
        <v>17</v>
      </c>
      <c r="U41" s="47">
        <v>18</v>
      </c>
      <c r="V41" s="47">
        <v>19</v>
      </c>
      <c r="W41" s="47">
        <v>20</v>
      </c>
      <c r="X41" s="47">
        <v>21</v>
      </c>
      <c r="Y41" s="47">
        <v>22</v>
      </c>
      <c r="Z41" s="47">
        <v>23</v>
      </c>
      <c r="AA41" s="47">
        <v>24</v>
      </c>
      <c r="AB41" s="47">
        <v>25</v>
      </c>
      <c r="AC41" s="8"/>
      <c r="AD41" s="8"/>
      <c r="AE41" s="8"/>
      <c r="AF41" s="8"/>
      <c r="AG41" s="8"/>
      <c r="AH41" s="8"/>
      <c r="AI41" s="8"/>
      <c r="AJ41" s="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row>
    <row r="42" spans="1:62" ht="15.75">
      <c r="B42" s="83" t="s">
        <v>59</v>
      </c>
      <c r="C42" s="82">
        <v>8</v>
      </c>
      <c r="D42" s="82">
        <v>8</v>
      </c>
      <c r="E42" s="82">
        <v>8</v>
      </c>
      <c r="F42" s="82">
        <v>8</v>
      </c>
      <c r="G42" s="82">
        <v>8</v>
      </c>
      <c r="H42" s="82">
        <v>8</v>
      </c>
      <c r="I42" s="82">
        <v>8</v>
      </c>
      <c r="J42" s="82">
        <v>8</v>
      </c>
      <c r="K42" s="82">
        <v>8</v>
      </c>
      <c r="L42" s="82">
        <v>8</v>
      </c>
      <c r="M42" s="82">
        <v>8</v>
      </c>
      <c r="N42" s="82">
        <v>8</v>
      </c>
      <c r="O42" s="82">
        <v>8</v>
      </c>
      <c r="P42" s="82">
        <v>8</v>
      </c>
      <c r="Q42" s="82">
        <v>8</v>
      </c>
      <c r="R42" s="82">
        <v>8</v>
      </c>
      <c r="S42" s="82">
        <v>8</v>
      </c>
      <c r="T42" s="82">
        <v>8</v>
      </c>
      <c r="U42" s="82">
        <v>8</v>
      </c>
      <c r="V42" s="82">
        <v>8</v>
      </c>
      <c r="W42" s="82">
        <v>8</v>
      </c>
      <c r="X42" s="82">
        <v>8</v>
      </c>
      <c r="Y42" s="82">
        <v>8</v>
      </c>
      <c r="Z42" s="82">
        <v>8</v>
      </c>
      <c r="AA42" s="82">
        <v>8</v>
      </c>
      <c r="AB42" s="82">
        <v>8</v>
      </c>
      <c r="AC42" s="8"/>
      <c r="AD42" s="8"/>
      <c r="AE42" s="8"/>
      <c r="AF42" s="8"/>
      <c r="AG42" s="8"/>
      <c r="AH42" s="8"/>
      <c r="AI42" s="8"/>
      <c r="AJ42" s="8"/>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row>
    <row r="43" spans="1:62" ht="15.75">
      <c r="B43" s="51" t="s">
        <v>60</v>
      </c>
      <c r="C43" s="52">
        <v>2</v>
      </c>
      <c r="D43" s="52">
        <f t="shared" ref="D43:U43" si="105">C43*($C11^D41)</f>
        <v>2</v>
      </c>
      <c r="E43" s="52">
        <f t="shared" si="105"/>
        <v>2</v>
      </c>
      <c r="F43" s="52">
        <f t="shared" si="105"/>
        <v>2</v>
      </c>
      <c r="G43" s="52">
        <f t="shared" si="105"/>
        <v>2</v>
      </c>
      <c r="H43" s="52">
        <f t="shared" si="105"/>
        <v>2</v>
      </c>
      <c r="I43" s="52">
        <f t="shared" si="105"/>
        <v>2</v>
      </c>
      <c r="J43" s="52">
        <f t="shared" si="105"/>
        <v>2</v>
      </c>
      <c r="K43" s="52">
        <f t="shared" si="105"/>
        <v>2</v>
      </c>
      <c r="L43" s="52">
        <f t="shared" si="105"/>
        <v>2</v>
      </c>
      <c r="M43" s="52">
        <f t="shared" si="105"/>
        <v>2</v>
      </c>
      <c r="N43" s="52">
        <f t="shared" si="105"/>
        <v>2</v>
      </c>
      <c r="O43" s="52">
        <f t="shared" si="105"/>
        <v>2</v>
      </c>
      <c r="P43" s="52">
        <f t="shared" si="105"/>
        <v>2</v>
      </c>
      <c r="Q43" s="52">
        <f t="shared" si="105"/>
        <v>2</v>
      </c>
      <c r="R43" s="52">
        <f t="shared" si="105"/>
        <v>2</v>
      </c>
      <c r="S43" s="52">
        <f t="shared" si="105"/>
        <v>2</v>
      </c>
      <c r="T43" s="52">
        <f t="shared" si="105"/>
        <v>2</v>
      </c>
      <c r="U43" s="52">
        <f t="shared" si="105"/>
        <v>2</v>
      </c>
      <c r="V43" s="52">
        <f t="shared" ref="V43" si="106">U43*($C11^V41)</f>
        <v>2</v>
      </c>
      <c r="W43" s="52">
        <f t="shared" ref="W43" si="107">V43*($C11^W41)</f>
        <v>2</v>
      </c>
      <c r="X43" s="52">
        <f t="shared" ref="X43" si="108">W43*($C11^X41)</f>
        <v>2</v>
      </c>
      <c r="Y43" s="52">
        <f t="shared" ref="Y43" si="109">X43*($C11^Y41)</f>
        <v>2</v>
      </c>
      <c r="Z43" s="52">
        <f t="shared" ref="Z43" si="110">Y43*($C11^Z41)</f>
        <v>2</v>
      </c>
      <c r="AA43" s="52">
        <f t="shared" ref="AA43" si="111">Z43*($C11^AA41)</f>
        <v>2</v>
      </c>
      <c r="AB43" s="52">
        <f t="shared" ref="AB43" si="112">AA43*($C11^AB41)</f>
        <v>2</v>
      </c>
      <c r="AC43" s="8"/>
      <c r="AD43" s="8"/>
      <c r="AE43" s="8"/>
      <c r="AF43" s="8"/>
      <c r="AG43" s="8"/>
      <c r="AH43" s="8"/>
      <c r="AI43" s="8"/>
      <c r="AJ43" s="8"/>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row>
    <row r="44" spans="1:62" s="27" customFormat="1" ht="15.75">
      <c r="A44" s="8"/>
      <c r="B44" s="84" t="s">
        <v>64</v>
      </c>
      <c r="C44" s="85">
        <f>C42+C43</f>
        <v>10</v>
      </c>
      <c r="D44" s="85">
        <f>D42+D43</f>
        <v>10</v>
      </c>
      <c r="E44" s="85">
        <f t="shared" ref="E44:U44" si="113">E42+E43</f>
        <v>10</v>
      </c>
      <c r="F44" s="85">
        <f t="shared" si="113"/>
        <v>10</v>
      </c>
      <c r="G44" s="85">
        <f t="shared" si="113"/>
        <v>10</v>
      </c>
      <c r="H44" s="85">
        <f t="shared" si="113"/>
        <v>10</v>
      </c>
      <c r="I44" s="85">
        <f t="shared" si="113"/>
        <v>10</v>
      </c>
      <c r="J44" s="85">
        <f t="shared" si="113"/>
        <v>10</v>
      </c>
      <c r="K44" s="86">
        <f t="shared" si="113"/>
        <v>10</v>
      </c>
      <c r="L44" s="86">
        <f t="shared" si="113"/>
        <v>10</v>
      </c>
      <c r="M44" s="86">
        <f t="shared" si="113"/>
        <v>10</v>
      </c>
      <c r="N44" s="86">
        <f t="shared" si="113"/>
        <v>10</v>
      </c>
      <c r="O44" s="86">
        <f t="shared" si="113"/>
        <v>10</v>
      </c>
      <c r="P44" s="86">
        <f t="shared" si="113"/>
        <v>10</v>
      </c>
      <c r="Q44" s="86">
        <f t="shared" si="113"/>
        <v>10</v>
      </c>
      <c r="R44" s="86">
        <f t="shared" si="113"/>
        <v>10</v>
      </c>
      <c r="S44" s="86">
        <f t="shared" si="113"/>
        <v>10</v>
      </c>
      <c r="T44" s="86">
        <f t="shared" si="113"/>
        <v>10</v>
      </c>
      <c r="U44" s="86">
        <f t="shared" si="113"/>
        <v>10</v>
      </c>
      <c r="V44" s="86">
        <f t="shared" ref="V44:W44" si="114">V42+V43</f>
        <v>10</v>
      </c>
      <c r="W44" s="86">
        <f t="shared" si="114"/>
        <v>10</v>
      </c>
      <c r="X44" s="86">
        <f t="shared" ref="X44:AB44" si="115">X42+X43</f>
        <v>10</v>
      </c>
      <c r="Y44" s="86">
        <f t="shared" si="115"/>
        <v>10</v>
      </c>
      <c r="Z44" s="86">
        <f t="shared" si="115"/>
        <v>10</v>
      </c>
      <c r="AA44" s="86">
        <f t="shared" si="115"/>
        <v>10</v>
      </c>
      <c r="AB44" s="86">
        <f t="shared" si="115"/>
        <v>10</v>
      </c>
    </row>
    <row r="45" spans="1:62" ht="15.75">
      <c r="B45" s="81" t="s">
        <v>138</v>
      </c>
      <c r="C45" s="422">
        <f>C44*$C$3</f>
        <v>10.5</v>
      </c>
      <c r="D45" s="422">
        <f t="shared" ref="D45" si="116">D44*$C$3</f>
        <v>10.5</v>
      </c>
      <c r="E45" s="422">
        <f t="shared" ref="E45" si="117">E44*$C$3</f>
        <v>10.5</v>
      </c>
      <c r="F45" s="422">
        <f t="shared" ref="F45" si="118">F44*$C$3</f>
        <v>10.5</v>
      </c>
      <c r="G45" s="422">
        <f t="shared" ref="G45" si="119">G44*$C$3</f>
        <v>10.5</v>
      </c>
      <c r="H45" s="423">
        <f>H44*$D$3</f>
        <v>10.199999999999999</v>
      </c>
      <c r="I45" s="423">
        <f t="shared" ref="I45" si="120">I44*$D$3</f>
        <v>10.199999999999999</v>
      </c>
      <c r="J45" s="423">
        <f t="shared" ref="J45" si="121">J44*$D$3</f>
        <v>10.199999999999999</v>
      </c>
      <c r="K45" s="423">
        <f t="shared" ref="K45" si="122">K44*$D$3</f>
        <v>10.199999999999999</v>
      </c>
      <c r="L45" s="423">
        <f t="shared" ref="L45" si="123">L44*$D$3</f>
        <v>10.199999999999999</v>
      </c>
      <c r="M45" s="423">
        <f t="shared" ref="M45" si="124">M44*$D$3</f>
        <v>10.199999999999999</v>
      </c>
      <c r="N45" s="423">
        <f t="shared" ref="N45" si="125">N44*$D$3</f>
        <v>10.199999999999999</v>
      </c>
      <c r="O45" s="423">
        <f t="shared" ref="O45" si="126">O44*$D$3</f>
        <v>10.199999999999999</v>
      </c>
      <c r="P45" s="423">
        <f t="shared" ref="P45" si="127">P44*$D$3</f>
        <v>10.199999999999999</v>
      </c>
      <c r="Q45" s="423">
        <f t="shared" ref="Q45" si="128">Q44*$D$3</f>
        <v>10.199999999999999</v>
      </c>
      <c r="R45" s="423">
        <f t="shared" ref="R45" si="129">R44*$D$3</f>
        <v>10.199999999999999</v>
      </c>
      <c r="S45" s="423">
        <f t="shared" ref="S45" si="130">S44*$D$3</f>
        <v>10.199999999999999</v>
      </c>
      <c r="T45" s="423">
        <f t="shared" ref="T45" si="131">T44*$D$3</f>
        <v>10.199999999999999</v>
      </c>
      <c r="U45" s="423">
        <f t="shared" ref="U45" si="132">U44*$D$3</f>
        <v>10.199999999999999</v>
      </c>
      <c r="V45" s="423">
        <f t="shared" ref="V45" si="133">V44*$D$3</f>
        <v>10.199999999999999</v>
      </c>
      <c r="W45" s="423">
        <f t="shared" ref="W45" si="134">W44*$D$3</f>
        <v>10.199999999999999</v>
      </c>
      <c r="X45" s="423">
        <f t="shared" ref="X45" si="135">X44*$D$3</f>
        <v>10.199999999999999</v>
      </c>
      <c r="Y45" s="423">
        <f t="shared" ref="Y45" si="136">Y44*$D$3</f>
        <v>10.199999999999999</v>
      </c>
      <c r="Z45" s="423">
        <f t="shared" ref="Z45" si="137">Z44*$D$3</f>
        <v>10.199999999999999</v>
      </c>
      <c r="AA45" s="423">
        <f t="shared" ref="AA45" si="138">AA44*$D$3</f>
        <v>10.199999999999999</v>
      </c>
      <c r="AB45" s="423">
        <f t="shared" ref="AB45" si="139">AB44*$D$3</f>
        <v>10.199999999999999</v>
      </c>
      <c r="AC45" s="8"/>
      <c r="AD45" s="8"/>
      <c r="AE45" s="8"/>
      <c r="AF45" s="8"/>
      <c r="AG45" s="8"/>
      <c r="AH45" s="8"/>
      <c r="AI45" s="8"/>
      <c r="AJ45" s="8"/>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row>
    <row r="46" spans="1:62" ht="16.5" thickBot="1">
      <c r="B46" s="75" t="s">
        <v>139</v>
      </c>
      <c r="C46" s="424">
        <f>C44*$C$4</f>
        <v>12</v>
      </c>
      <c r="D46" s="424">
        <f t="shared" ref="D46:G46" si="140">D44*$C$4</f>
        <v>12</v>
      </c>
      <c r="E46" s="424">
        <f t="shared" si="140"/>
        <v>12</v>
      </c>
      <c r="F46" s="424">
        <f t="shared" si="140"/>
        <v>12</v>
      </c>
      <c r="G46" s="424">
        <f t="shared" si="140"/>
        <v>12</v>
      </c>
      <c r="H46" s="425">
        <f>H44*$D$4</f>
        <v>10.5</v>
      </c>
      <c r="I46" s="425">
        <f t="shared" ref="I46:W46" si="141">I44*$D$4</f>
        <v>10.5</v>
      </c>
      <c r="J46" s="425">
        <f t="shared" si="141"/>
        <v>10.5</v>
      </c>
      <c r="K46" s="425">
        <f t="shared" si="141"/>
        <v>10.5</v>
      </c>
      <c r="L46" s="425">
        <f t="shared" si="141"/>
        <v>10.5</v>
      </c>
      <c r="M46" s="425">
        <f t="shared" si="141"/>
        <v>10.5</v>
      </c>
      <c r="N46" s="425">
        <f t="shared" si="141"/>
        <v>10.5</v>
      </c>
      <c r="O46" s="425">
        <f t="shared" si="141"/>
        <v>10.5</v>
      </c>
      <c r="P46" s="425">
        <f t="shared" si="141"/>
        <v>10.5</v>
      </c>
      <c r="Q46" s="425">
        <f t="shared" si="141"/>
        <v>10.5</v>
      </c>
      <c r="R46" s="425">
        <f t="shared" si="141"/>
        <v>10.5</v>
      </c>
      <c r="S46" s="425">
        <f t="shared" si="141"/>
        <v>10.5</v>
      </c>
      <c r="T46" s="425">
        <f t="shared" si="141"/>
        <v>10.5</v>
      </c>
      <c r="U46" s="425">
        <f t="shared" si="141"/>
        <v>10.5</v>
      </c>
      <c r="V46" s="425">
        <f t="shared" si="141"/>
        <v>10.5</v>
      </c>
      <c r="W46" s="425">
        <f t="shared" si="141"/>
        <v>10.5</v>
      </c>
      <c r="X46" s="425">
        <f t="shared" ref="X46:AB46" si="142">X44*$D$4</f>
        <v>10.5</v>
      </c>
      <c r="Y46" s="425">
        <f t="shared" si="142"/>
        <v>10.5</v>
      </c>
      <c r="Z46" s="425">
        <f t="shared" si="142"/>
        <v>10.5</v>
      </c>
      <c r="AA46" s="425">
        <f t="shared" si="142"/>
        <v>10.5</v>
      </c>
      <c r="AB46" s="425">
        <f t="shared" si="142"/>
        <v>10.5</v>
      </c>
      <c r="AC46" s="8"/>
      <c r="AD46" s="8"/>
      <c r="AE46" s="8"/>
      <c r="AF46" s="8"/>
      <c r="AG46" s="8"/>
      <c r="AH46" s="8"/>
      <c r="AI46" s="8"/>
      <c r="AJ46" s="8"/>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row>
    <row r="47" spans="1:62" ht="15.75" thickBot="1">
      <c r="B47" s="17"/>
      <c r="L47" s="8"/>
      <c r="M47" s="8"/>
      <c r="N47" s="8"/>
      <c r="O47" s="8"/>
      <c r="P47" s="8"/>
      <c r="Q47" s="8"/>
      <c r="R47" s="8"/>
      <c r="S47" s="8"/>
      <c r="T47" s="8"/>
      <c r="U47" s="112"/>
      <c r="V47" s="112"/>
      <c r="W47" s="112"/>
      <c r="X47" s="112"/>
      <c r="Y47" s="112"/>
      <c r="Z47" s="112"/>
      <c r="AA47" s="112"/>
      <c r="AB47" s="112"/>
      <c r="AC47" s="8"/>
      <c r="AD47" s="8"/>
      <c r="AE47" s="8"/>
      <c r="AF47" s="8"/>
      <c r="AG47" s="8"/>
      <c r="AH47" s="8"/>
      <c r="AI47" s="8"/>
      <c r="AJ47" s="8"/>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row>
    <row r="48" spans="1:62" s="92" customFormat="1" ht="18.75" thickBot="1">
      <c r="A48" s="112"/>
      <c r="B48" s="382" t="s">
        <v>65</v>
      </c>
      <c r="C48" s="282"/>
      <c r="D48" s="282"/>
      <c r="E48" s="282"/>
      <c r="F48" s="282"/>
      <c r="G48" s="282"/>
      <c r="H48" s="282"/>
      <c r="I48" s="282"/>
      <c r="J48" s="282"/>
      <c r="K48" s="282"/>
      <c r="L48" s="282"/>
      <c r="M48" s="282"/>
      <c r="N48" s="282"/>
      <c r="O48" s="282"/>
      <c r="P48" s="282"/>
      <c r="Q48" s="282"/>
      <c r="R48" s="282"/>
      <c r="S48" s="282"/>
      <c r="T48" s="282"/>
      <c r="U48" s="282"/>
      <c r="V48" s="282"/>
      <c r="W48" s="282"/>
      <c r="X48" s="282"/>
      <c r="Y48" s="282"/>
      <c r="Z48" s="282"/>
      <c r="AA48" s="282"/>
      <c r="AB48" s="282"/>
      <c r="AC48" s="112"/>
      <c r="AD48" s="112"/>
      <c r="AE48" s="112"/>
      <c r="AF48" s="112"/>
      <c r="AG48" s="112"/>
      <c r="AH48" s="112"/>
      <c r="AI48" s="112"/>
      <c r="AJ48" s="112"/>
      <c r="AK48" s="112"/>
      <c r="AL48" s="112"/>
      <c r="AM48" s="112"/>
      <c r="AN48" s="112"/>
      <c r="AO48" s="112"/>
      <c r="AP48" s="112"/>
      <c r="AQ48" s="112"/>
      <c r="AR48" s="112"/>
      <c r="AS48" s="112"/>
      <c r="AT48" s="112"/>
      <c r="AU48" s="112"/>
      <c r="AV48" s="112"/>
      <c r="AW48" s="112"/>
      <c r="AX48" s="112"/>
      <c r="AY48" s="112"/>
      <c r="AZ48" s="112"/>
      <c r="BA48" s="112"/>
      <c r="BB48" s="112"/>
      <c r="BC48" s="112"/>
      <c r="BD48" s="112"/>
      <c r="BE48" s="112"/>
      <c r="BF48" s="112"/>
      <c r="BG48" s="112"/>
      <c r="BH48" s="112"/>
      <c r="BI48" s="112"/>
      <c r="BJ48" s="112"/>
    </row>
    <row r="49" spans="1:62" ht="15.75" thickBot="1">
      <c r="L49" s="8"/>
      <c r="M49" s="8"/>
      <c r="N49" s="8"/>
      <c r="O49" s="8"/>
      <c r="P49" s="8"/>
      <c r="Q49" s="8"/>
      <c r="R49" s="8"/>
      <c r="S49" s="8"/>
      <c r="T49" s="8"/>
      <c r="U49" s="112"/>
      <c r="V49" s="112"/>
      <c r="W49" s="112"/>
      <c r="X49" s="112"/>
      <c r="Y49" s="112"/>
      <c r="Z49" s="112"/>
      <c r="AA49" s="112"/>
      <c r="AB49" s="112"/>
      <c r="AC49" s="8"/>
      <c r="AD49" s="8"/>
      <c r="AE49" s="8"/>
      <c r="AF49" s="8"/>
      <c r="AG49" s="8"/>
      <c r="AH49" s="8"/>
      <c r="AI49" s="8"/>
      <c r="AJ49" s="8"/>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row>
    <row r="50" spans="1:62" ht="15.75">
      <c r="B50" s="39" t="s">
        <v>201</v>
      </c>
      <c r="C50" s="59"/>
      <c r="D50" s="59"/>
      <c r="E50" s="59"/>
      <c r="F50" s="59"/>
      <c r="G50" s="59"/>
      <c r="H50" s="59"/>
      <c r="I50" s="59"/>
      <c r="J50" s="59"/>
      <c r="K50" s="60"/>
      <c r="L50" s="59"/>
      <c r="M50" s="59"/>
      <c r="N50" s="59"/>
      <c r="O50" s="59"/>
      <c r="P50" s="59"/>
      <c r="Q50" s="59"/>
      <c r="R50" s="59"/>
      <c r="S50" s="59"/>
      <c r="T50" s="59"/>
      <c r="U50" s="132"/>
      <c r="V50" s="132"/>
      <c r="W50" s="132"/>
      <c r="X50" s="132"/>
      <c r="Y50" s="132"/>
      <c r="Z50" s="132"/>
      <c r="AA50" s="132"/>
      <c r="AB50" s="132"/>
      <c r="AC50" s="8"/>
      <c r="AD50" s="8"/>
      <c r="AE50" s="8"/>
      <c r="AF50" s="8"/>
      <c r="AG50" s="8"/>
      <c r="AH50" s="8"/>
      <c r="AI50" s="8"/>
      <c r="AJ50" s="8"/>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row>
    <row r="51" spans="1:62" ht="15.75">
      <c r="B51" s="33" t="s">
        <v>58</v>
      </c>
      <c r="C51" s="34">
        <v>0</v>
      </c>
      <c r="D51" s="34">
        <v>1</v>
      </c>
      <c r="E51" s="34">
        <f>D51+1</f>
        <v>2</v>
      </c>
      <c r="F51" s="35">
        <f>E51+1</f>
        <v>3</v>
      </c>
      <c r="G51" s="34">
        <f>F51+1</f>
        <v>4</v>
      </c>
      <c r="H51" s="42">
        <f>G51+1</f>
        <v>5</v>
      </c>
      <c r="I51" s="35">
        <v>6</v>
      </c>
      <c r="J51" s="34">
        <v>7</v>
      </c>
      <c r="K51" s="34">
        <v>8</v>
      </c>
      <c r="L51" s="34">
        <v>9</v>
      </c>
      <c r="M51" s="42">
        <v>10</v>
      </c>
      <c r="N51" s="34">
        <v>11</v>
      </c>
      <c r="O51" s="42">
        <v>12</v>
      </c>
      <c r="P51" s="34">
        <v>13</v>
      </c>
      <c r="Q51" s="42">
        <v>14</v>
      </c>
      <c r="R51" s="34">
        <v>15</v>
      </c>
      <c r="S51" s="42">
        <v>16</v>
      </c>
      <c r="T51" s="34">
        <v>17</v>
      </c>
      <c r="U51" s="126">
        <v>18</v>
      </c>
      <c r="V51" s="126">
        <v>19</v>
      </c>
      <c r="W51" s="126">
        <v>20</v>
      </c>
      <c r="X51" s="126">
        <v>21</v>
      </c>
      <c r="Y51" s="126">
        <v>22</v>
      </c>
      <c r="Z51" s="126">
        <v>23</v>
      </c>
      <c r="AA51" s="126">
        <v>24</v>
      </c>
      <c r="AB51" s="126">
        <v>25</v>
      </c>
      <c r="AC51" s="8"/>
      <c r="AD51" s="8"/>
      <c r="AE51" s="8"/>
      <c r="AF51" s="8"/>
      <c r="AG51" s="8"/>
      <c r="AH51" s="8"/>
      <c r="AI51" s="8"/>
      <c r="AJ51" s="8"/>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row>
    <row r="52" spans="1:62" ht="15.75">
      <c r="B52" s="88" t="s">
        <v>59</v>
      </c>
      <c r="C52" s="87">
        <v>5</v>
      </c>
      <c r="D52" s="87">
        <f t="shared" ref="D52:U52" si="143">C52*($C11^D51)</f>
        <v>5</v>
      </c>
      <c r="E52" s="87">
        <f t="shared" si="143"/>
        <v>5</v>
      </c>
      <c r="F52" s="87">
        <f t="shared" si="143"/>
        <v>5</v>
      </c>
      <c r="G52" s="87">
        <f t="shared" si="143"/>
        <v>5</v>
      </c>
      <c r="H52" s="87">
        <f t="shared" si="143"/>
        <v>5</v>
      </c>
      <c r="I52" s="87">
        <f t="shared" si="143"/>
        <v>5</v>
      </c>
      <c r="J52" s="87">
        <f t="shared" si="143"/>
        <v>5</v>
      </c>
      <c r="K52" s="87">
        <f t="shared" si="143"/>
        <v>5</v>
      </c>
      <c r="L52" s="87">
        <f t="shared" si="143"/>
        <v>5</v>
      </c>
      <c r="M52" s="87">
        <f t="shared" si="143"/>
        <v>5</v>
      </c>
      <c r="N52" s="87">
        <f t="shared" si="143"/>
        <v>5</v>
      </c>
      <c r="O52" s="87">
        <f t="shared" si="143"/>
        <v>5</v>
      </c>
      <c r="P52" s="87">
        <f t="shared" si="143"/>
        <v>5</v>
      </c>
      <c r="Q52" s="87">
        <f t="shared" si="143"/>
        <v>5</v>
      </c>
      <c r="R52" s="87">
        <f t="shared" si="143"/>
        <v>5</v>
      </c>
      <c r="S52" s="87">
        <f t="shared" si="143"/>
        <v>5</v>
      </c>
      <c r="T52" s="87">
        <f t="shared" si="143"/>
        <v>5</v>
      </c>
      <c r="U52" s="87">
        <f t="shared" si="143"/>
        <v>5</v>
      </c>
      <c r="V52" s="87">
        <f t="shared" ref="V52" si="144">U52*($C11^V51)</f>
        <v>5</v>
      </c>
      <c r="W52" s="87">
        <f t="shared" ref="W52" si="145">V52*($C11^W51)</f>
        <v>5</v>
      </c>
      <c r="X52" s="87">
        <f t="shared" ref="X52" si="146">W52*($C11^X51)</f>
        <v>5</v>
      </c>
      <c r="Y52" s="87">
        <f t="shared" ref="Y52" si="147">X52*($C11^Y51)</f>
        <v>5</v>
      </c>
      <c r="Z52" s="87">
        <f t="shared" ref="Z52" si="148">Y52*($C11^Z51)</f>
        <v>5</v>
      </c>
      <c r="AA52" s="87">
        <f t="shared" ref="AA52" si="149">Z52*($C11^AA51)</f>
        <v>5</v>
      </c>
      <c r="AB52" s="87">
        <f t="shared" ref="AB52" si="150">AA52*($C11^AB51)</f>
        <v>5</v>
      </c>
      <c r="AC52" s="8"/>
      <c r="AD52" s="8"/>
      <c r="AE52" s="8"/>
      <c r="AF52" s="8"/>
      <c r="AG52" s="8"/>
      <c r="AH52" s="8"/>
      <c r="AI52" s="8"/>
      <c r="AJ52" s="8"/>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row>
    <row r="53" spans="1:62" ht="15.75">
      <c r="B53" s="88" t="s">
        <v>60</v>
      </c>
      <c r="C53" s="87">
        <v>1</v>
      </c>
      <c r="D53" s="87">
        <f t="shared" ref="D53:U53" si="151">C53*($C11^D51)</f>
        <v>1</v>
      </c>
      <c r="E53" s="87">
        <f t="shared" si="151"/>
        <v>1</v>
      </c>
      <c r="F53" s="87">
        <f t="shared" si="151"/>
        <v>1</v>
      </c>
      <c r="G53" s="87">
        <f t="shared" si="151"/>
        <v>1</v>
      </c>
      <c r="H53" s="87">
        <f t="shared" si="151"/>
        <v>1</v>
      </c>
      <c r="I53" s="87">
        <f t="shared" si="151"/>
        <v>1</v>
      </c>
      <c r="J53" s="87">
        <f t="shared" si="151"/>
        <v>1</v>
      </c>
      <c r="K53" s="87">
        <f t="shared" si="151"/>
        <v>1</v>
      </c>
      <c r="L53" s="87">
        <f t="shared" si="151"/>
        <v>1</v>
      </c>
      <c r="M53" s="87">
        <f t="shared" si="151"/>
        <v>1</v>
      </c>
      <c r="N53" s="87">
        <f t="shared" si="151"/>
        <v>1</v>
      </c>
      <c r="O53" s="87">
        <f t="shared" si="151"/>
        <v>1</v>
      </c>
      <c r="P53" s="87">
        <f t="shared" si="151"/>
        <v>1</v>
      </c>
      <c r="Q53" s="87">
        <f t="shared" si="151"/>
        <v>1</v>
      </c>
      <c r="R53" s="87">
        <f t="shared" si="151"/>
        <v>1</v>
      </c>
      <c r="S53" s="87">
        <f t="shared" si="151"/>
        <v>1</v>
      </c>
      <c r="T53" s="87">
        <f t="shared" si="151"/>
        <v>1</v>
      </c>
      <c r="U53" s="87">
        <f t="shared" si="151"/>
        <v>1</v>
      </c>
      <c r="V53" s="87">
        <f t="shared" ref="V53" si="152">U53*($C11^V51)</f>
        <v>1</v>
      </c>
      <c r="W53" s="87">
        <f t="shared" ref="W53" si="153">V53*($C11^W51)</f>
        <v>1</v>
      </c>
      <c r="X53" s="87">
        <f t="shared" ref="X53" si="154">W53*($C11^X51)</f>
        <v>1</v>
      </c>
      <c r="Y53" s="87">
        <f t="shared" ref="Y53" si="155">X53*($C11^Y51)</f>
        <v>1</v>
      </c>
      <c r="Z53" s="87">
        <f t="shared" ref="Z53" si="156">Y53*($C11^Z51)</f>
        <v>1</v>
      </c>
      <c r="AA53" s="87">
        <f t="shared" ref="AA53" si="157">Z53*($C11^AA51)</f>
        <v>1</v>
      </c>
      <c r="AB53" s="87">
        <f t="shared" ref="AB53" si="158">AA53*($C11^AB51)</f>
        <v>1</v>
      </c>
      <c r="AC53" s="8"/>
      <c r="AD53" s="8"/>
      <c r="AE53" s="8"/>
      <c r="AF53" s="8"/>
      <c r="AG53" s="8"/>
      <c r="AH53" s="8"/>
      <c r="AI53" s="8"/>
      <c r="AJ53" s="8"/>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row>
    <row r="54" spans="1:62" s="30" customFormat="1" ht="17.25" customHeight="1">
      <c r="A54" s="8"/>
      <c r="B54" s="89" t="s">
        <v>66</v>
      </c>
      <c r="C54" s="87">
        <v>25</v>
      </c>
      <c r="D54" s="87">
        <f t="shared" ref="D54:U54" si="159">C54*($C11^D51)</f>
        <v>25</v>
      </c>
      <c r="E54" s="87">
        <f t="shared" si="159"/>
        <v>25</v>
      </c>
      <c r="F54" s="87">
        <f t="shared" si="159"/>
        <v>25</v>
      </c>
      <c r="G54" s="87">
        <f t="shared" si="159"/>
        <v>25</v>
      </c>
      <c r="H54" s="87">
        <f t="shared" si="159"/>
        <v>25</v>
      </c>
      <c r="I54" s="87">
        <f t="shared" si="159"/>
        <v>25</v>
      </c>
      <c r="J54" s="87">
        <f t="shared" si="159"/>
        <v>25</v>
      </c>
      <c r="K54" s="87">
        <f t="shared" si="159"/>
        <v>25</v>
      </c>
      <c r="L54" s="87">
        <f t="shared" si="159"/>
        <v>25</v>
      </c>
      <c r="M54" s="87">
        <f t="shared" si="159"/>
        <v>25</v>
      </c>
      <c r="N54" s="87">
        <f t="shared" si="159"/>
        <v>25</v>
      </c>
      <c r="O54" s="87">
        <f t="shared" si="159"/>
        <v>25</v>
      </c>
      <c r="P54" s="87">
        <f t="shared" si="159"/>
        <v>25</v>
      </c>
      <c r="Q54" s="87">
        <f t="shared" si="159"/>
        <v>25</v>
      </c>
      <c r="R54" s="87">
        <f t="shared" si="159"/>
        <v>25</v>
      </c>
      <c r="S54" s="87">
        <f t="shared" si="159"/>
        <v>25</v>
      </c>
      <c r="T54" s="87">
        <f t="shared" si="159"/>
        <v>25</v>
      </c>
      <c r="U54" s="87">
        <f t="shared" si="159"/>
        <v>25</v>
      </c>
      <c r="V54" s="87">
        <f t="shared" ref="V54" si="160">U54*($C11^V51)</f>
        <v>25</v>
      </c>
      <c r="W54" s="87">
        <f t="shared" ref="W54" si="161">V54*($C11^W51)</f>
        <v>25</v>
      </c>
      <c r="X54" s="87">
        <f t="shared" ref="X54" si="162">W54*($C11^X51)</f>
        <v>25</v>
      </c>
      <c r="Y54" s="87">
        <f t="shared" ref="Y54" si="163">X54*($C11^Y51)</f>
        <v>25</v>
      </c>
      <c r="Z54" s="87">
        <f t="shared" ref="Z54" si="164">Y54*($C11^Z51)</f>
        <v>25</v>
      </c>
      <c r="AA54" s="87">
        <f t="shared" ref="AA54" si="165">Z54*($C11^AA51)</f>
        <v>25</v>
      </c>
      <c r="AB54" s="87">
        <f t="shared" ref="AB54" si="166">AA54*($C11^AB51)</f>
        <v>25</v>
      </c>
    </row>
    <row r="55" spans="1:62" s="30" customFormat="1" ht="15.75">
      <c r="A55" s="8"/>
      <c r="B55" s="90" t="s">
        <v>62</v>
      </c>
      <c r="C55" s="383">
        <f>C52+C53+C54</f>
        <v>31</v>
      </c>
      <c r="D55" s="383">
        <f t="shared" ref="D55:U55" si="167">D52+D53+D54</f>
        <v>31</v>
      </c>
      <c r="E55" s="383">
        <f t="shared" si="167"/>
        <v>31</v>
      </c>
      <c r="F55" s="383">
        <f t="shared" si="167"/>
        <v>31</v>
      </c>
      <c r="G55" s="383">
        <f t="shared" si="167"/>
        <v>31</v>
      </c>
      <c r="H55" s="383">
        <f t="shared" si="167"/>
        <v>31</v>
      </c>
      <c r="I55" s="383">
        <f t="shared" si="167"/>
        <v>31</v>
      </c>
      <c r="J55" s="383">
        <f t="shared" si="167"/>
        <v>31</v>
      </c>
      <c r="K55" s="383">
        <f t="shared" si="167"/>
        <v>31</v>
      </c>
      <c r="L55" s="383">
        <f t="shared" si="167"/>
        <v>31</v>
      </c>
      <c r="M55" s="383">
        <f t="shared" si="167"/>
        <v>31</v>
      </c>
      <c r="N55" s="383">
        <f t="shared" si="167"/>
        <v>31</v>
      </c>
      <c r="O55" s="383">
        <f t="shared" si="167"/>
        <v>31</v>
      </c>
      <c r="P55" s="383">
        <f t="shared" si="167"/>
        <v>31</v>
      </c>
      <c r="Q55" s="383">
        <f t="shared" si="167"/>
        <v>31</v>
      </c>
      <c r="R55" s="383">
        <f t="shared" si="167"/>
        <v>31</v>
      </c>
      <c r="S55" s="383">
        <f t="shared" si="167"/>
        <v>31</v>
      </c>
      <c r="T55" s="383">
        <f t="shared" si="167"/>
        <v>31</v>
      </c>
      <c r="U55" s="383">
        <f t="shared" si="167"/>
        <v>31</v>
      </c>
      <c r="V55" s="383">
        <f t="shared" ref="V55:W55" si="168">V52+V53+V54</f>
        <v>31</v>
      </c>
      <c r="W55" s="383">
        <f t="shared" si="168"/>
        <v>31</v>
      </c>
      <c r="X55" s="383">
        <f t="shared" ref="X55:AB55" si="169">X52+X53+X54</f>
        <v>31</v>
      </c>
      <c r="Y55" s="383">
        <f t="shared" si="169"/>
        <v>31</v>
      </c>
      <c r="Z55" s="383">
        <f t="shared" si="169"/>
        <v>31</v>
      </c>
      <c r="AA55" s="383">
        <f t="shared" si="169"/>
        <v>31</v>
      </c>
      <c r="AB55" s="383">
        <f t="shared" si="169"/>
        <v>31</v>
      </c>
    </row>
    <row r="56" spans="1:62" ht="15.75">
      <c r="B56" s="81" t="s">
        <v>138</v>
      </c>
      <c r="C56" s="422">
        <f>C55*$C$3</f>
        <v>32.550000000000004</v>
      </c>
      <c r="D56" s="422">
        <f t="shared" ref="D56" si="170">D55*$C$3</f>
        <v>32.550000000000004</v>
      </c>
      <c r="E56" s="422">
        <f t="shared" ref="E56" si="171">E55*$C$3</f>
        <v>32.550000000000004</v>
      </c>
      <c r="F56" s="422">
        <f t="shared" ref="F56" si="172">F55*$C$3</f>
        <v>32.550000000000004</v>
      </c>
      <c r="G56" s="422">
        <f t="shared" ref="G56" si="173">G55*$C$3</f>
        <v>32.550000000000004</v>
      </c>
      <c r="H56" s="423">
        <f>H55*$D$3</f>
        <v>31.62</v>
      </c>
      <c r="I56" s="423">
        <f t="shared" ref="I56" si="174">I55*$D$3</f>
        <v>31.62</v>
      </c>
      <c r="J56" s="423">
        <f t="shared" ref="J56" si="175">J55*$D$3</f>
        <v>31.62</v>
      </c>
      <c r="K56" s="423">
        <f t="shared" ref="K56" si="176">K55*$D$3</f>
        <v>31.62</v>
      </c>
      <c r="L56" s="423">
        <f t="shared" ref="L56" si="177">L55*$D$3</f>
        <v>31.62</v>
      </c>
      <c r="M56" s="423">
        <f t="shared" ref="M56" si="178">M55*$D$3</f>
        <v>31.62</v>
      </c>
      <c r="N56" s="423">
        <f t="shared" ref="N56" si="179">N55*$D$3</f>
        <v>31.62</v>
      </c>
      <c r="O56" s="423">
        <f t="shared" ref="O56" si="180">O55*$D$3</f>
        <v>31.62</v>
      </c>
      <c r="P56" s="423">
        <f t="shared" ref="P56" si="181">P55*$D$3</f>
        <v>31.62</v>
      </c>
      <c r="Q56" s="423">
        <f t="shared" ref="Q56" si="182">Q55*$D$3</f>
        <v>31.62</v>
      </c>
      <c r="R56" s="423">
        <f t="shared" ref="R56" si="183">R55*$D$3</f>
        <v>31.62</v>
      </c>
      <c r="S56" s="423">
        <f t="shared" ref="S56" si="184">S55*$D$3</f>
        <v>31.62</v>
      </c>
      <c r="T56" s="423">
        <f t="shared" ref="T56" si="185">T55*$D$3</f>
        <v>31.62</v>
      </c>
      <c r="U56" s="423">
        <f t="shared" ref="U56" si="186">U55*$D$3</f>
        <v>31.62</v>
      </c>
      <c r="V56" s="423">
        <f t="shared" ref="V56" si="187">V55*$D$3</f>
        <v>31.62</v>
      </c>
      <c r="W56" s="423">
        <f t="shared" ref="W56" si="188">W55*$D$3</f>
        <v>31.62</v>
      </c>
      <c r="X56" s="423">
        <f t="shared" ref="X56" si="189">X55*$D$3</f>
        <v>31.62</v>
      </c>
      <c r="Y56" s="423">
        <f t="shared" ref="Y56" si="190">Y55*$D$3</f>
        <v>31.62</v>
      </c>
      <c r="Z56" s="423">
        <f t="shared" ref="Z56" si="191">Z55*$D$3</f>
        <v>31.62</v>
      </c>
      <c r="AA56" s="423">
        <f t="shared" ref="AA56" si="192">AA55*$D$3</f>
        <v>31.62</v>
      </c>
      <c r="AB56" s="423">
        <f t="shared" ref="AB56" si="193">AB55*$D$3</f>
        <v>31.62</v>
      </c>
    </row>
    <row r="57" spans="1:62" ht="16.5" thickBot="1">
      <c r="B57" s="75" t="s">
        <v>139</v>
      </c>
      <c r="C57" s="424">
        <f>C55*$C$4</f>
        <v>37.199999999999996</v>
      </c>
      <c r="D57" s="424">
        <f t="shared" ref="D57:G57" si="194">D55*$C$4</f>
        <v>37.199999999999996</v>
      </c>
      <c r="E57" s="424">
        <f t="shared" si="194"/>
        <v>37.199999999999996</v>
      </c>
      <c r="F57" s="424">
        <f t="shared" si="194"/>
        <v>37.199999999999996</v>
      </c>
      <c r="G57" s="424">
        <f t="shared" si="194"/>
        <v>37.199999999999996</v>
      </c>
      <c r="H57" s="425">
        <f>H55*$D$4</f>
        <v>32.550000000000004</v>
      </c>
      <c r="I57" s="425">
        <f t="shared" ref="I57:W57" si="195">I55*$D$4</f>
        <v>32.550000000000004</v>
      </c>
      <c r="J57" s="425">
        <f t="shared" si="195"/>
        <v>32.550000000000004</v>
      </c>
      <c r="K57" s="425">
        <f t="shared" si="195"/>
        <v>32.550000000000004</v>
      </c>
      <c r="L57" s="425">
        <f t="shared" si="195"/>
        <v>32.550000000000004</v>
      </c>
      <c r="M57" s="425">
        <f t="shared" si="195"/>
        <v>32.550000000000004</v>
      </c>
      <c r="N57" s="425">
        <f t="shared" si="195"/>
        <v>32.550000000000004</v>
      </c>
      <c r="O57" s="425">
        <f t="shared" si="195"/>
        <v>32.550000000000004</v>
      </c>
      <c r="P57" s="425">
        <f t="shared" si="195"/>
        <v>32.550000000000004</v>
      </c>
      <c r="Q57" s="425">
        <f t="shared" si="195"/>
        <v>32.550000000000004</v>
      </c>
      <c r="R57" s="425">
        <f t="shared" si="195"/>
        <v>32.550000000000004</v>
      </c>
      <c r="S57" s="425">
        <f t="shared" si="195"/>
        <v>32.550000000000004</v>
      </c>
      <c r="T57" s="425">
        <f t="shared" si="195"/>
        <v>32.550000000000004</v>
      </c>
      <c r="U57" s="425">
        <f t="shared" si="195"/>
        <v>32.550000000000004</v>
      </c>
      <c r="V57" s="425">
        <f t="shared" si="195"/>
        <v>32.550000000000004</v>
      </c>
      <c r="W57" s="425">
        <f t="shared" si="195"/>
        <v>32.550000000000004</v>
      </c>
      <c r="X57" s="425">
        <f t="shared" ref="X57:AB57" si="196">X55*$D$4</f>
        <v>32.550000000000004</v>
      </c>
      <c r="Y57" s="425">
        <f t="shared" si="196"/>
        <v>32.550000000000004</v>
      </c>
      <c r="Z57" s="425">
        <f t="shared" si="196"/>
        <v>32.550000000000004</v>
      </c>
      <c r="AA57" s="425">
        <f t="shared" si="196"/>
        <v>32.550000000000004</v>
      </c>
      <c r="AB57" s="425">
        <f t="shared" si="196"/>
        <v>32.550000000000004</v>
      </c>
    </row>
    <row r="58" spans="1:62" ht="15.75" thickBot="1">
      <c r="U58" s="92"/>
      <c r="V58" s="92"/>
      <c r="W58" s="92"/>
      <c r="X58" s="92"/>
      <c r="Y58" s="92"/>
      <c r="Z58" s="92"/>
      <c r="AA58" s="92"/>
      <c r="AB58" s="92"/>
    </row>
    <row r="59" spans="1:62" ht="15.75">
      <c r="B59" s="129" t="s">
        <v>204</v>
      </c>
      <c r="C59" s="40"/>
      <c r="D59" s="40"/>
      <c r="E59" s="40"/>
      <c r="F59" s="40"/>
      <c r="G59" s="40"/>
      <c r="H59" s="40"/>
      <c r="I59" s="40"/>
      <c r="J59" s="40"/>
      <c r="K59" s="41"/>
      <c r="L59" s="40"/>
      <c r="M59" s="40"/>
      <c r="N59" s="40"/>
      <c r="O59" s="40"/>
      <c r="P59" s="40"/>
      <c r="Q59" s="40"/>
      <c r="R59" s="40"/>
      <c r="S59" s="40"/>
      <c r="T59" s="40"/>
      <c r="U59" s="40"/>
      <c r="V59" s="40"/>
      <c r="W59" s="40"/>
      <c r="X59" s="40"/>
      <c r="Y59" s="40"/>
      <c r="Z59" s="40"/>
      <c r="AA59" s="40"/>
      <c r="AB59" s="40"/>
    </row>
    <row r="60" spans="1:62" ht="15.75">
      <c r="B60" s="125" t="s">
        <v>58</v>
      </c>
      <c r="C60" s="126">
        <v>0</v>
      </c>
      <c r="D60" s="126">
        <v>1</v>
      </c>
      <c r="E60" s="126">
        <f>D60+1</f>
        <v>2</v>
      </c>
      <c r="F60" s="127">
        <f>E60+1</f>
        <v>3</v>
      </c>
      <c r="G60" s="126">
        <f>F60+1</f>
        <v>4</v>
      </c>
      <c r="H60" s="130">
        <f>G60+1</f>
        <v>5</v>
      </c>
      <c r="I60" s="127">
        <v>6</v>
      </c>
      <c r="J60" s="126">
        <v>7</v>
      </c>
      <c r="K60" s="130">
        <v>8</v>
      </c>
      <c r="L60" s="126">
        <v>9</v>
      </c>
      <c r="M60" s="130">
        <v>10</v>
      </c>
      <c r="N60" s="126">
        <v>11</v>
      </c>
      <c r="O60" s="130">
        <v>12</v>
      </c>
      <c r="P60" s="126">
        <v>13</v>
      </c>
      <c r="Q60" s="130">
        <v>14</v>
      </c>
      <c r="R60" s="126">
        <v>15</v>
      </c>
      <c r="S60" s="130">
        <v>16</v>
      </c>
      <c r="T60" s="126">
        <v>17</v>
      </c>
      <c r="U60" s="126">
        <v>18</v>
      </c>
      <c r="V60" s="126">
        <v>19</v>
      </c>
      <c r="W60" s="126">
        <v>20</v>
      </c>
      <c r="X60" s="126">
        <v>21</v>
      </c>
      <c r="Y60" s="126">
        <v>22</v>
      </c>
      <c r="Z60" s="126">
        <v>23</v>
      </c>
      <c r="AA60" s="126">
        <v>24</v>
      </c>
      <c r="AB60" s="126">
        <v>25</v>
      </c>
    </row>
    <row r="61" spans="1:62" ht="15.75">
      <c r="B61" s="136" t="s">
        <v>59</v>
      </c>
      <c r="C61" s="128">
        <v>8</v>
      </c>
      <c r="D61" s="128">
        <f t="shared" ref="D61:U61" si="197">C61*($C11^D60)</f>
        <v>8</v>
      </c>
      <c r="E61" s="128">
        <f t="shared" si="197"/>
        <v>8</v>
      </c>
      <c r="F61" s="128">
        <f t="shared" si="197"/>
        <v>8</v>
      </c>
      <c r="G61" s="135">
        <f t="shared" si="197"/>
        <v>8</v>
      </c>
      <c r="H61" s="135">
        <f t="shared" si="197"/>
        <v>8</v>
      </c>
      <c r="I61" s="135">
        <f t="shared" si="197"/>
        <v>8</v>
      </c>
      <c r="J61" s="135">
        <f t="shared" si="197"/>
        <v>8</v>
      </c>
      <c r="K61" s="135">
        <f t="shared" si="197"/>
        <v>8</v>
      </c>
      <c r="L61" s="135">
        <f t="shared" si="197"/>
        <v>8</v>
      </c>
      <c r="M61" s="135">
        <f t="shared" si="197"/>
        <v>8</v>
      </c>
      <c r="N61" s="135">
        <f t="shared" si="197"/>
        <v>8</v>
      </c>
      <c r="O61" s="135">
        <f t="shared" si="197"/>
        <v>8</v>
      </c>
      <c r="P61" s="135">
        <f t="shared" si="197"/>
        <v>8</v>
      </c>
      <c r="Q61" s="135">
        <f t="shared" si="197"/>
        <v>8</v>
      </c>
      <c r="R61" s="135">
        <f t="shared" si="197"/>
        <v>8</v>
      </c>
      <c r="S61" s="135">
        <f t="shared" si="197"/>
        <v>8</v>
      </c>
      <c r="T61" s="135">
        <f t="shared" si="197"/>
        <v>8</v>
      </c>
      <c r="U61" s="135">
        <f t="shared" si="197"/>
        <v>8</v>
      </c>
      <c r="V61" s="135">
        <f t="shared" ref="V61" si="198">U61*($C11^V60)</f>
        <v>8</v>
      </c>
      <c r="W61" s="135">
        <f t="shared" ref="W61" si="199">V61*($C11^W60)</f>
        <v>8</v>
      </c>
      <c r="X61" s="135">
        <f t="shared" ref="X61" si="200">W61*($C11^X60)</f>
        <v>8</v>
      </c>
      <c r="Y61" s="135">
        <f t="shared" ref="Y61" si="201">X61*($C11^Y60)</f>
        <v>8</v>
      </c>
      <c r="Z61" s="135">
        <f t="shared" ref="Z61" si="202">Y61*($C11^Z60)</f>
        <v>8</v>
      </c>
      <c r="AA61" s="135">
        <f t="shared" ref="AA61" si="203">Z61*($C11^AA60)</f>
        <v>8</v>
      </c>
      <c r="AB61" s="135">
        <f t="shared" ref="AB61" si="204">AA61*($C11^AB60)</f>
        <v>8</v>
      </c>
    </row>
    <row r="62" spans="1:62" ht="15.75">
      <c r="B62" s="136" t="s">
        <v>60</v>
      </c>
      <c r="C62" s="128">
        <v>2</v>
      </c>
      <c r="D62" s="128">
        <f t="shared" ref="D62:U62" si="205">C62*($C11^D60)</f>
        <v>2</v>
      </c>
      <c r="E62" s="128">
        <f t="shared" si="205"/>
        <v>2</v>
      </c>
      <c r="F62" s="128">
        <f t="shared" si="205"/>
        <v>2</v>
      </c>
      <c r="G62" s="128">
        <f t="shared" si="205"/>
        <v>2</v>
      </c>
      <c r="H62" s="128">
        <f t="shared" si="205"/>
        <v>2</v>
      </c>
      <c r="I62" s="128">
        <f t="shared" si="205"/>
        <v>2</v>
      </c>
      <c r="J62" s="128">
        <f t="shared" si="205"/>
        <v>2</v>
      </c>
      <c r="K62" s="128">
        <f t="shared" si="205"/>
        <v>2</v>
      </c>
      <c r="L62" s="128">
        <f t="shared" si="205"/>
        <v>2</v>
      </c>
      <c r="M62" s="128">
        <f t="shared" si="205"/>
        <v>2</v>
      </c>
      <c r="N62" s="128">
        <f t="shared" si="205"/>
        <v>2</v>
      </c>
      <c r="O62" s="128">
        <f t="shared" si="205"/>
        <v>2</v>
      </c>
      <c r="P62" s="128">
        <f t="shared" si="205"/>
        <v>2</v>
      </c>
      <c r="Q62" s="128">
        <f t="shared" si="205"/>
        <v>2</v>
      </c>
      <c r="R62" s="128">
        <f t="shared" si="205"/>
        <v>2</v>
      </c>
      <c r="S62" s="128">
        <f t="shared" si="205"/>
        <v>2</v>
      </c>
      <c r="T62" s="128">
        <f t="shared" si="205"/>
        <v>2</v>
      </c>
      <c r="U62" s="128">
        <f t="shared" si="205"/>
        <v>2</v>
      </c>
      <c r="V62" s="128">
        <f t="shared" ref="V62" si="206">U62*($C11^V60)</f>
        <v>2</v>
      </c>
      <c r="W62" s="128">
        <f t="shared" ref="W62" si="207">V62*($C11^W60)</f>
        <v>2</v>
      </c>
      <c r="X62" s="128">
        <f t="shared" ref="X62" si="208">W62*($C11^X60)</f>
        <v>2</v>
      </c>
      <c r="Y62" s="128">
        <f t="shared" ref="Y62" si="209">X62*($C11^Y60)</f>
        <v>2</v>
      </c>
      <c r="Z62" s="128">
        <f t="shared" ref="Z62" si="210">Y62*($C11^Z60)</f>
        <v>2</v>
      </c>
      <c r="AA62" s="128">
        <f t="shared" ref="AA62" si="211">Z62*($C11^AA60)</f>
        <v>2</v>
      </c>
      <c r="AB62" s="128">
        <f t="shared" ref="AB62" si="212">AA62*($C11^AB60)</f>
        <v>2</v>
      </c>
    </row>
    <row r="63" spans="1:62" s="30" customFormat="1" ht="18" customHeight="1">
      <c r="A63" s="8"/>
      <c r="B63" s="137" t="s">
        <v>66</v>
      </c>
      <c r="C63" s="128">
        <v>30</v>
      </c>
      <c r="D63" s="128">
        <f t="shared" ref="D63:U63" si="213">C63*($C11^D60)</f>
        <v>30</v>
      </c>
      <c r="E63" s="128">
        <f t="shared" si="213"/>
        <v>30</v>
      </c>
      <c r="F63" s="128">
        <f t="shared" si="213"/>
        <v>30</v>
      </c>
      <c r="G63" s="128">
        <f t="shared" si="213"/>
        <v>30</v>
      </c>
      <c r="H63" s="128">
        <f t="shared" si="213"/>
        <v>30</v>
      </c>
      <c r="I63" s="128">
        <f t="shared" si="213"/>
        <v>30</v>
      </c>
      <c r="J63" s="128">
        <f t="shared" si="213"/>
        <v>30</v>
      </c>
      <c r="K63" s="128">
        <f t="shared" si="213"/>
        <v>30</v>
      </c>
      <c r="L63" s="128">
        <f t="shared" si="213"/>
        <v>30</v>
      </c>
      <c r="M63" s="128">
        <f t="shared" si="213"/>
        <v>30</v>
      </c>
      <c r="N63" s="128">
        <f t="shared" si="213"/>
        <v>30</v>
      </c>
      <c r="O63" s="128">
        <f t="shared" si="213"/>
        <v>30</v>
      </c>
      <c r="P63" s="128">
        <f t="shared" si="213"/>
        <v>30</v>
      </c>
      <c r="Q63" s="128">
        <f t="shared" si="213"/>
        <v>30</v>
      </c>
      <c r="R63" s="128">
        <f t="shared" si="213"/>
        <v>30</v>
      </c>
      <c r="S63" s="128">
        <f t="shared" si="213"/>
        <v>30</v>
      </c>
      <c r="T63" s="128">
        <f t="shared" si="213"/>
        <v>30</v>
      </c>
      <c r="U63" s="128">
        <f t="shared" si="213"/>
        <v>30</v>
      </c>
      <c r="V63" s="128">
        <f t="shared" ref="V63" si="214">U63*($C11^V60)</f>
        <v>30</v>
      </c>
      <c r="W63" s="128">
        <f t="shared" ref="W63" si="215">V63*($C11^W60)</f>
        <v>30</v>
      </c>
      <c r="X63" s="128">
        <f t="shared" ref="X63" si="216">W63*($C11^X60)</f>
        <v>30</v>
      </c>
      <c r="Y63" s="128">
        <f t="shared" ref="Y63" si="217">X63*($C11^Y60)</f>
        <v>30</v>
      </c>
      <c r="Z63" s="128">
        <f t="shared" ref="Z63" si="218">Y63*($C11^Z60)</f>
        <v>30</v>
      </c>
      <c r="AA63" s="128">
        <f t="shared" ref="AA63" si="219">Z63*($C11^AA60)</f>
        <v>30</v>
      </c>
      <c r="AB63" s="128">
        <f t="shared" ref="AB63" si="220">AA63*($C11^AB60)</f>
        <v>30</v>
      </c>
    </row>
    <row r="64" spans="1:62" ht="15.75">
      <c r="B64" s="364" t="s">
        <v>62</v>
      </c>
      <c r="C64" s="134">
        <f t="shared" ref="C64:U64" si="221">C61+C62+C63</f>
        <v>40</v>
      </c>
      <c r="D64" s="134">
        <f t="shared" si="221"/>
        <v>40</v>
      </c>
      <c r="E64" s="134">
        <f t="shared" si="221"/>
        <v>40</v>
      </c>
      <c r="F64" s="134">
        <f t="shared" si="221"/>
        <v>40</v>
      </c>
      <c r="G64" s="139">
        <f t="shared" si="221"/>
        <v>40</v>
      </c>
      <c r="H64" s="139">
        <f t="shared" si="221"/>
        <v>40</v>
      </c>
      <c r="I64" s="139">
        <f t="shared" si="221"/>
        <v>40</v>
      </c>
      <c r="J64" s="139">
        <f t="shared" si="221"/>
        <v>40</v>
      </c>
      <c r="K64" s="139">
        <f t="shared" si="221"/>
        <v>40</v>
      </c>
      <c r="L64" s="139">
        <f t="shared" si="221"/>
        <v>40</v>
      </c>
      <c r="M64" s="139">
        <f t="shared" si="221"/>
        <v>40</v>
      </c>
      <c r="N64" s="139">
        <f t="shared" si="221"/>
        <v>40</v>
      </c>
      <c r="O64" s="139">
        <f t="shared" si="221"/>
        <v>40</v>
      </c>
      <c r="P64" s="139">
        <f t="shared" si="221"/>
        <v>40</v>
      </c>
      <c r="Q64" s="139">
        <f t="shared" si="221"/>
        <v>40</v>
      </c>
      <c r="R64" s="139">
        <f t="shared" si="221"/>
        <v>40</v>
      </c>
      <c r="S64" s="139">
        <f t="shared" si="221"/>
        <v>40</v>
      </c>
      <c r="T64" s="139">
        <f t="shared" si="221"/>
        <v>40</v>
      </c>
      <c r="U64" s="139">
        <f t="shared" si="221"/>
        <v>40</v>
      </c>
      <c r="V64" s="139">
        <f t="shared" ref="V64:W64" si="222">V61+V62+V63</f>
        <v>40</v>
      </c>
      <c r="W64" s="139">
        <f t="shared" si="222"/>
        <v>40</v>
      </c>
      <c r="X64" s="139">
        <f t="shared" ref="X64:AB64" si="223">X61+X62+X63</f>
        <v>40</v>
      </c>
      <c r="Y64" s="139">
        <f t="shared" si="223"/>
        <v>40</v>
      </c>
      <c r="Z64" s="139">
        <f t="shared" si="223"/>
        <v>40</v>
      </c>
      <c r="AA64" s="139">
        <f t="shared" si="223"/>
        <v>40</v>
      </c>
      <c r="AB64" s="139">
        <f t="shared" si="223"/>
        <v>40</v>
      </c>
    </row>
    <row r="65" spans="2:28" ht="15.75">
      <c r="B65" s="81" t="s">
        <v>138</v>
      </c>
      <c r="C65" s="422">
        <f>C64*$C$3</f>
        <v>42</v>
      </c>
      <c r="D65" s="422">
        <f t="shared" ref="D65" si="224">D64*$C$3</f>
        <v>42</v>
      </c>
      <c r="E65" s="422">
        <f t="shared" ref="E65" si="225">E64*$C$3</f>
        <v>42</v>
      </c>
      <c r="F65" s="422">
        <f t="shared" ref="F65" si="226">F64*$C$3</f>
        <v>42</v>
      </c>
      <c r="G65" s="422">
        <f t="shared" ref="G65" si="227">G64*$C$3</f>
        <v>42</v>
      </c>
      <c r="H65" s="423">
        <f>H64*$D$3</f>
        <v>40.799999999999997</v>
      </c>
      <c r="I65" s="423">
        <f t="shared" ref="I65" si="228">I64*$D$3</f>
        <v>40.799999999999997</v>
      </c>
      <c r="J65" s="423">
        <f t="shared" ref="J65" si="229">J64*$D$3</f>
        <v>40.799999999999997</v>
      </c>
      <c r="K65" s="423">
        <f t="shared" ref="K65" si="230">K64*$D$3</f>
        <v>40.799999999999997</v>
      </c>
      <c r="L65" s="423">
        <f t="shared" ref="L65" si="231">L64*$D$3</f>
        <v>40.799999999999997</v>
      </c>
      <c r="M65" s="423">
        <f t="shared" ref="M65" si="232">M64*$D$3</f>
        <v>40.799999999999997</v>
      </c>
      <c r="N65" s="423">
        <f t="shared" ref="N65" si="233">N64*$D$3</f>
        <v>40.799999999999997</v>
      </c>
      <c r="O65" s="423">
        <f t="shared" ref="O65" si="234">O64*$D$3</f>
        <v>40.799999999999997</v>
      </c>
      <c r="P65" s="423">
        <f t="shared" ref="P65" si="235">P64*$D$3</f>
        <v>40.799999999999997</v>
      </c>
      <c r="Q65" s="423">
        <f t="shared" ref="Q65" si="236">Q64*$D$3</f>
        <v>40.799999999999997</v>
      </c>
      <c r="R65" s="423">
        <f t="shared" ref="R65" si="237">R64*$D$3</f>
        <v>40.799999999999997</v>
      </c>
      <c r="S65" s="423">
        <f t="shared" ref="S65" si="238">S64*$D$3</f>
        <v>40.799999999999997</v>
      </c>
      <c r="T65" s="423">
        <f t="shared" ref="T65" si="239">T64*$D$3</f>
        <v>40.799999999999997</v>
      </c>
      <c r="U65" s="423">
        <f t="shared" ref="U65" si="240">U64*$D$3</f>
        <v>40.799999999999997</v>
      </c>
      <c r="V65" s="423">
        <f t="shared" ref="V65" si="241">V64*$D$3</f>
        <v>40.799999999999997</v>
      </c>
      <c r="W65" s="423">
        <f t="shared" ref="W65" si="242">W64*$D$3</f>
        <v>40.799999999999997</v>
      </c>
      <c r="X65" s="423">
        <f t="shared" ref="X65" si="243">X64*$D$3</f>
        <v>40.799999999999997</v>
      </c>
      <c r="Y65" s="423">
        <f t="shared" ref="Y65" si="244">Y64*$D$3</f>
        <v>40.799999999999997</v>
      </c>
      <c r="Z65" s="423">
        <f t="shared" ref="Z65" si="245">Z64*$D$3</f>
        <v>40.799999999999997</v>
      </c>
      <c r="AA65" s="423">
        <f t="shared" ref="AA65" si="246">AA64*$D$3</f>
        <v>40.799999999999997</v>
      </c>
      <c r="AB65" s="423">
        <f t="shared" ref="AB65" si="247">AB64*$D$3</f>
        <v>40.799999999999997</v>
      </c>
    </row>
    <row r="66" spans="2:28" ht="16.5" thickBot="1">
      <c r="B66" s="75" t="s">
        <v>139</v>
      </c>
      <c r="C66" s="424">
        <f>C64*$C$4</f>
        <v>48</v>
      </c>
      <c r="D66" s="424">
        <f t="shared" ref="D66:G66" si="248">D64*$C$4</f>
        <v>48</v>
      </c>
      <c r="E66" s="424">
        <f t="shared" si="248"/>
        <v>48</v>
      </c>
      <c r="F66" s="424">
        <f t="shared" si="248"/>
        <v>48</v>
      </c>
      <c r="G66" s="424">
        <f t="shared" si="248"/>
        <v>48</v>
      </c>
      <c r="H66" s="425">
        <f>H64*$D$4</f>
        <v>42</v>
      </c>
      <c r="I66" s="425">
        <f t="shared" ref="I66:W66" si="249">I64*$D$4</f>
        <v>42</v>
      </c>
      <c r="J66" s="425">
        <f t="shared" si="249"/>
        <v>42</v>
      </c>
      <c r="K66" s="425">
        <f t="shared" si="249"/>
        <v>42</v>
      </c>
      <c r="L66" s="425">
        <f t="shared" si="249"/>
        <v>42</v>
      </c>
      <c r="M66" s="425">
        <f t="shared" si="249"/>
        <v>42</v>
      </c>
      <c r="N66" s="425">
        <f t="shared" si="249"/>
        <v>42</v>
      </c>
      <c r="O66" s="425">
        <f t="shared" si="249"/>
        <v>42</v>
      </c>
      <c r="P66" s="425">
        <f t="shared" si="249"/>
        <v>42</v>
      </c>
      <c r="Q66" s="425">
        <f t="shared" si="249"/>
        <v>42</v>
      </c>
      <c r="R66" s="425">
        <f t="shared" si="249"/>
        <v>42</v>
      </c>
      <c r="S66" s="425">
        <f t="shared" si="249"/>
        <v>42</v>
      </c>
      <c r="T66" s="425">
        <f t="shared" si="249"/>
        <v>42</v>
      </c>
      <c r="U66" s="425">
        <f t="shared" si="249"/>
        <v>42</v>
      </c>
      <c r="V66" s="425">
        <f t="shared" si="249"/>
        <v>42</v>
      </c>
      <c r="W66" s="425">
        <f t="shared" si="249"/>
        <v>42</v>
      </c>
      <c r="X66" s="425">
        <f t="shared" ref="X66:AB66" si="250">X64*$D$4</f>
        <v>42</v>
      </c>
      <c r="Y66" s="425">
        <f t="shared" si="250"/>
        <v>42</v>
      </c>
      <c r="Z66" s="425">
        <f t="shared" si="250"/>
        <v>42</v>
      </c>
      <c r="AA66" s="425">
        <f t="shared" si="250"/>
        <v>42</v>
      </c>
      <c r="AB66" s="425">
        <f t="shared" si="250"/>
        <v>42</v>
      </c>
    </row>
    <row r="67" spans="2:28">
      <c r="U67" s="92"/>
      <c r="V67" s="92"/>
      <c r="W67" s="92"/>
      <c r="X67" s="92"/>
      <c r="Y67" s="92"/>
      <c r="Z67" s="92"/>
      <c r="AA67" s="92"/>
      <c r="AB67" s="92"/>
    </row>
    <row r="68" spans="2:28" ht="18">
      <c r="B68" s="61" t="s">
        <v>67</v>
      </c>
      <c r="C68" s="9">
        <v>2012</v>
      </c>
      <c r="D68" s="9">
        <v>2013</v>
      </c>
      <c r="E68" s="9">
        <v>2014</v>
      </c>
      <c r="F68" s="9">
        <v>2015</v>
      </c>
      <c r="G68" s="9">
        <v>2016</v>
      </c>
      <c r="H68" s="9">
        <v>2017</v>
      </c>
      <c r="I68" s="9">
        <v>2018</v>
      </c>
      <c r="J68" s="9">
        <v>2019</v>
      </c>
      <c r="K68" s="10">
        <v>2020</v>
      </c>
      <c r="U68" s="92"/>
      <c r="V68" s="92"/>
      <c r="W68" s="92"/>
      <c r="X68" s="92"/>
      <c r="Y68" s="92"/>
      <c r="Z68" s="92"/>
      <c r="AA68" s="92"/>
      <c r="AB68" s="92"/>
    </row>
    <row r="69" spans="2:28" ht="18">
      <c r="B69" s="62" t="s">
        <v>58</v>
      </c>
      <c r="C69" s="11">
        <v>0</v>
      </c>
      <c r="D69" s="11">
        <v>1</v>
      </c>
      <c r="E69" s="11">
        <f>D69+1</f>
        <v>2</v>
      </c>
      <c r="F69" s="12">
        <f>E69+1</f>
        <v>3</v>
      </c>
      <c r="G69" s="11">
        <f>F69+1</f>
        <v>4</v>
      </c>
      <c r="H69" s="19">
        <f>G69+1</f>
        <v>5</v>
      </c>
      <c r="I69" s="12">
        <v>6</v>
      </c>
      <c r="J69" s="11">
        <v>7</v>
      </c>
      <c r="K69" s="11">
        <v>8</v>
      </c>
      <c r="U69" s="92"/>
      <c r="V69" s="92"/>
      <c r="W69" s="92"/>
      <c r="X69" s="92"/>
      <c r="Y69" s="92"/>
      <c r="Z69" s="92"/>
      <c r="AA69" s="92"/>
      <c r="AB69" s="92"/>
    </row>
    <row r="70" spans="2:28" ht="18">
      <c r="B70" s="64" t="s">
        <v>59</v>
      </c>
      <c r="C70" s="28">
        <v>5</v>
      </c>
      <c r="D70" s="29">
        <f>C70/(1+0.1)^D69</f>
        <v>4.545454545454545</v>
      </c>
      <c r="E70" s="29">
        <f t="shared" ref="E70:K70" si="251">D70/(1+0.1)^E69</f>
        <v>3.7565740045078879</v>
      </c>
      <c r="F70" s="29">
        <f t="shared" si="251"/>
        <v>2.8223696502688855</v>
      </c>
      <c r="G70" s="29">
        <f t="shared" si="251"/>
        <v>1.9277164471476571</v>
      </c>
      <c r="H70" s="29">
        <f t="shared" si="251"/>
        <v>1.1969602468458169</v>
      </c>
      <c r="I70" s="29">
        <f t="shared" si="251"/>
        <v>0.67565285465519753</v>
      </c>
      <c r="J70" s="29">
        <f t="shared" si="251"/>
        <v>0.34671674747206616</v>
      </c>
      <c r="K70" s="29">
        <f t="shared" si="251"/>
        <v>0.16174592153803322</v>
      </c>
      <c r="U70" s="92"/>
      <c r="V70" s="92"/>
      <c r="W70" s="92"/>
      <c r="X70" s="92"/>
      <c r="Y70" s="92"/>
      <c r="Z70" s="92"/>
      <c r="AA70" s="92"/>
      <c r="AB70" s="92"/>
    </row>
    <row r="71" spans="2:28" ht="18">
      <c r="B71" s="64" t="s">
        <v>60</v>
      </c>
      <c r="C71" s="28">
        <v>1</v>
      </c>
      <c r="D71" s="15">
        <f>C71/(1+0.1)^D69</f>
        <v>0.90909090909090906</v>
      </c>
      <c r="E71" s="15">
        <f t="shared" ref="E71:K71" si="252">D71/(1+0.1)^E69</f>
        <v>0.75131480090157765</v>
      </c>
      <c r="F71" s="15">
        <f t="shared" si="252"/>
        <v>0.56447393005377722</v>
      </c>
      <c r="G71" s="15">
        <f t="shared" si="252"/>
        <v>0.38554328942953148</v>
      </c>
      <c r="H71" s="15">
        <f t="shared" si="252"/>
        <v>0.23939204936916339</v>
      </c>
      <c r="I71" s="15">
        <f t="shared" si="252"/>
        <v>0.1351305709310395</v>
      </c>
      <c r="J71" s="15">
        <f t="shared" si="252"/>
        <v>6.9343349494413231E-2</v>
      </c>
      <c r="K71" s="15">
        <f t="shared" si="252"/>
        <v>3.2349184307606645E-2</v>
      </c>
      <c r="U71" s="92"/>
      <c r="V71" s="92"/>
      <c r="W71" s="92"/>
      <c r="X71" s="92"/>
      <c r="Y71" s="92"/>
      <c r="Z71" s="92"/>
      <c r="AA71" s="92"/>
      <c r="AB71" s="92"/>
    </row>
    <row r="72" spans="2:28" ht="18">
      <c r="B72" s="65" t="s">
        <v>66</v>
      </c>
      <c r="C72" s="15">
        <v>25</v>
      </c>
      <c r="D72" s="15">
        <f t="shared" ref="D72:K72" si="253">C72/(1+0.1)^D34</f>
        <v>15.523033076478875</v>
      </c>
      <c r="E72" s="15">
        <f t="shared" si="253"/>
        <v>9.6385822357382871</v>
      </c>
      <c r="F72" s="15">
        <f t="shared" si="253"/>
        <v>5.9848012342290851</v>
      </c>
      <c r="G72" s="15">
        <f t="shared" si="253"/>
        <v>3.716090700603587</v>
      </c>
      <c r="H72" s="15">
        <f t="shared" si="253"/>
        <v>2.3073999544266015</v>
      </c>
      <c r="I72" s="15">
        <f t="shared" si="253"/>
        <v>1.4327138325291993</v>
      </c>
      <c r="J72" s="15">
        <f t="shared" si="253"/>
        <v>0.88960256845918295</v>
      </c>
      <c r="K72" s="15">
        <f t="shared" si="253"/>
        <v>0.55237320380449839</v>
      </c>
      <c r="U72" s="92"/>
      <c r="V72" s="92"/>
      <c r="W72" s="92"/>
      <c r="X72" s="92"/>
      <c r="Y72" s="92"/>
      <c r="Z72" s="92"/>
      <c r="AA72" s="92"/>
      <c r="AB72" s="92"/>
    </row>
    <row r="73" spans="2:28" ht="18">
      <c r="B73" s="65" t="s">
        <v>68</v>
      </c>
      <c r="C73" s="15">
        <v>12</v>
      </c>
      <c r="D73" s="15">
        <f>C73/(1+0.1)^D69</f>
        <v>10.909090909090908</v>
      </c>
      <c r="E73" s="15">
        <f t="shared" ref="E73:K73" si="254">D73/(1+0.1)^E69</f>
        <v>9.0157776108189314</v>
      </c>
      <c r="F73" s="15">
        <f t="shared" si="254"/>
        <v>6.7736871606453262</v>
      </c>
      <c r="G73" s="15">
        <f t="shared" si="254"/>
        <v>4.6265194731543779</v>
      </c>
      <c r="H73" s="15">
        <f t="shared" si="254"/>
        <v>2.8727045924299608</v>
      </c>
      <c r="I73" s="15">
        <f t="shared" si="254"/>
        <v>1.6215668511724741</v>
      </c>
      <c r="J73" s="15">
        <f t="shared" si="254"/>
        <v>0.83212019393295877</v>
      </c>
      <c r="K73" s="15">
        <f t="shared" si="254"/>
        <v>0.38819021169127971</v>
      </c>
      <c r="U73" s="92"/>
      <c r="V73" s="92"/>
      <c r="W73" s="92"/>
      <c r="X73" s="92"/>
      <c r="Y73" s="92"/>
      <c r="Z73" s="92"/>
      <c r="AA73" s="92"/>
      <c r="AB73" s="92"/>
    </row>
    <row r="74" spans="2:28" ht="18">
      <c r="B74" s="65" t="s">
        <v>62</v>
      </c>
      <c r="C74" s="15">
        <f>C70+C71+C72+C73</f>
        <v>43</v>
      </c>
      <c r="D74" s="15">
        <f t="shared" ref="D74:K74" si="255">D70+D71+D72+D73</f>
        <v>31.886669440115234</v>
      </c>
      <c r="E74" s="15">
        <f t="shared" si="255"/>
        <v>23.162248651966685</v>
      </c>
      <c r="F74" s="15">
        <f t="shared" si="255"/>
        <v>16.145331975197074</v>
      </c>
      <c r="G74" s="15">
        <f t="shared" si="255"/>
        <v>10.655869910335154</v>
      </c>
      <c r="H74" s="15">
        <f t="shared" si="255"/>
        <v>6.6164568430715427</v>
      </c>
      <c r="I74" s="15">
        <f t="shared" si="255"/>
        <v>3.8650641092879106</v>
      </c>
      <c r="J74" s="15">
        <f t="shared" si="255"/>
        <v>2.1377828593586212</v>
      </c>
      <c r="K74" s="15">
        <f t="shared" si="255"/>
        <v>1.134658521341418</v>
      </c>
      <c r="U74" s="92"/>
      <c r="V74" s="92"/>
      <c r="W74" s="92"/>
      <c r="X74" s="92"/>
      <c r="Y74" s="92"/>
      <c r="Z74" s="92"/>
      <c r="AA74" s="92"/>
      <c r="AB74" s="92"/>
    </row>
    <row r="75" spans="2:28" ht="18">
      <c r="B75" s="66" t="s">
        <v>138</v>
      </c>
      <c r="C75" s="31">
        <f>C74*1.05</f>
        <v>45.15</v>
      </c>
      <c r="D75" s="31">
        <f t="shared" ref="D75:K75" si="256">D74*1.05</f>
        <v>33.481002912120999</v>
      </c>
      <c r="E75" s="31">
        <f t="shared" si="256"/>
        <v>24.320361084565022</v>
      </c>
      <c r="F75" s="31">
        <f t="shared" si="256"/>
        <v>16.95259857395693</v>
      </c>
      <c r="G75" s="31">
        <f t="shared" si="256"/>
        <v>11.188663405851912</v>
      </c>
      <c r="H75" s="31">
        <f t="shared" si="256"/>
        <v>6.9472796852251202</v>
      </c>
      <c r="I75" s="31">
        <f t="shared" si="256"/>
        <v>4.0583173147523066</v>
      </c>
      <c r="J75" s="31">
        <f t="shared" si="256"/>
        <v>2.2446720023265523</v>
      </c>
      <c r="K75" s="31">
        <f t="shared" si="256"/>
        <v>1.191391447408489</v>
      </c>
      <c r="U75" s="92"/>
      <c r="V75" s="92"/>
      <c r="W75" s="92"/>
      <c r="X75" s="92"/>
      <c r="Y75" s="92"/>
      <c r="Z75" s="92"/>
      <c r="AA75" s="92"/>
      <c r="AB75" s="92"/>
    </row>
    <row r="76" spans="2:28" ht="18">
      <c r="B76" s="63" t="s">
        <v>139</v>
      </c>
      <c r="C76" s="31">
        <f>C74*1.2</f>
        <v>51.6</v>
      </c>
      <c r="D76" s="31">
        <f t="shared" ref="D76:K76" si="257">D74*1.2</f>
        <v>38.26400332813828</v>
      </c>
      <c r="E76" s="31">
        <f t="shared" si="257"/>
        <v>27.794698382360021</v>
      </c>
      <c r="F76" s="31">
        <f t="shared" si="257"/>
        <v>19.374398370236488</v>
      </c>
      <c r="G76" s="31">
        <f t="shared" si="257"/>
        <v>12.787043892402185</v>
      </c>
      <c r="H76" s="31">
        <f t="shared" si="257"/>
        <v>7.9397482116858509</v>
      </c>
      <c r="I76" s="31">
        <f t="shared" si="257"/>
        <v>4.6380769311454921</v>
      </c>
      <c r="J76" s="31">
        <f t="shared" si="257"/>
        <v>2.5653394312303455</v>
      </c>
      <c r="K76" s="31">
        <f t="shared" si="257"/>
        <v>1.3615902256097014</v>
      </c>
      <c r="U76" s="92"/>
      <c r="V76" s="92"/>
      <c r="W76" s="92"/>
      <c r="X76" s="92"/>
      <c r="Y76" s="92"/>
      <c r="Z76" s="92"/>
      <c r="AA76" s="92"/>
      <c r="AB76" s="92"/>
    </row>
    <row r="77" spans="2:28">
      <c r="D77" s="32"/>
      <c r="U77" s="92"/>
      <c r="V77" s="92"/>
      <c r="W77" s="92"/>
      <c r="X77" s="92"/>
      <c r="Y77" s="92"/>
      <c r="Z77" s="92"/>
      <c r="AA77" s="92"/>
      <c r="AB77" s="92"/>
    </row>
    <row r="78" spans="2:28" ht="18">
      <c r="B78" s="61" t="s">
        <v>69</v>
      </c>
      <c r="C78" s="9">
        <v>2012</v>
      </c>
      <c r="D78" s="9">
        <v>2013</v>
      </c>
      <c r="E78" s="9">
        <v>2014</v>
      </c>
      <c r="F78" s="9">
        <v>2015</v>
      </c>
      <c r="G78" s="9">
        <v>2016</v>
      </c>
      <c r="H78" s="9">
        <v>2017</v>
      </c>
      <c r="I78" s="9">
        <v>2018</v>
      </c>
      <c r="J78" s="9">
        <v>2019</v>
      </c>
      <c r="K78" s="10">
        <v>2020</v>
      </c>
      <c r="U78" s="92"/>
      <c r="V78" s="92"/>
      <c r="W78" s="92"/>
      <c r="X78" s="92"/>
      <c r="Y78" s="92"/>
      <c r="Z78" s="92"/>
      <c r="AA78" s="92"/>
      <c r="AB78" s="92"/>
    </row>
    <row r="79" spans="2:28" ht="18">
      <c r="B79" s="62" t="s">
        <v>58</v>
      </c>
      <c r="C79" s="11">
        <v>0</v>
      </c>
      <c r="D79" s="11">
        <v>1</v>
      </c>
      <c r="E79" s="11">
        <f>D79+1</f>
        <v>2</v>
      </c>
      <c r="F79" s="12">
        <f>E79+1</f>
        <v>3</v>
      </c>
      <c r="G79" s="11">
        <f>F79+1</f>
        <v>4</v>
      </c>
      <c r="H79" s="19">
        <f>G79+1</f>
        <v>5</v>
      </c>
      <c r="I79" s="12">
        <v>6</v>
      </c>
      <c r="J79" s="11">
        <v>7</v>
      </c>
      <c r="K79" s="11">
        <v>8</v>
      </c>
      <c r="U79" s="92"/>
      <c r="V79" s="92"/>
      <c r="W79" s="92"/>
      <c r="X79" s="92"/>
      <c r="Y79" s="92"/>
      <c r="Z79" s="92"/>
      <c r="AA79" s="92"/>
      <c r="AB79" s="92"/>
    </row>
    <row r="80" spans="2:28" ht="18">
      <c r="B80" s="64" t="s">
        <v>59</v>
      </c>
      <c r="C80" s="28">
        <v>8</v>
      </c>
      <c r="D80" s="29">
        <f t="shared" ref="D80:K80" si="258">C80/(1+0.1)^D79</f>
        <v>7.2727272727272725</v>
      </c>
      <c r="E80" s="29">
        <f t="shared" si="258"/>
        <v>6.0105184072126212</v>
      </c>
      <c r="F80" s="29">
        <f t="shared" si="258"/>
        <v>4.5157914404302177</v>
      </c>
      <c r="G80" s="29">
        <f t="shared" si="258"/>
        <v>3.0843463154362518</v>
      </c>
      <c r="H80" s="29">
        <f t="shared" si="258"/>
        <v>1.9151363949533071</v>
      </c>
      <c r="I80" s="29">
        <f t="shared" si="258"/>
        <v>1.081044567448316</v>
      </c>
      <c r="J80" s="29">
        <f t="shared" si="258"/>
        <v>0.55474679595530585</v>
      </c>
      <c r="K80" s="29">
        <f t="shared" si="258"/>
        <v>0.25879347446085316</v>
      </c>
      <c r="U80" s="92"/>
      <c r="V80" s="92"/>
      <c r="W80" s="92"/>
      <c r="X80" s="92"/>
      <c r="Y80" s="92"/>
      <c r="Z80" s="92"/>
      <c r="AA80" s="92"/>
      <c r="AB80" s="92"/>
    </row>
    <row r="81" spans="2:28" ht="18">
      <c r="B81" s="64" t="s">
        <v>60</v>
      </c>
      <c r="C81" s="28">
        <v>2</v>
      </c>
      <c r="D81" s="15">
        <f>C81/(1+0.1)^D79</f>
        <v>1.8181818181818181</v>
      </c>
      <c r="E81" s="15">
        <f t="shared" ref="E81:K81" si="259">D81/(1+0.1)^E79</f>
        <v>1.5026296018031553</v>
      </c>
      <c r="F81" s="15">
        <f t="shared" si="259"/>
        <v>1.1289478601075544</v>
      </c>
      <c r="G81" s="15">
        <f t="shared" si="259"/>
        <v>0.77108657885906295</v>
      </c>
      <c r="H81" s="15">
        <f t="shared" si="259"/>
        <v>0.47878409873832678</v>
      </c>
      <c r="I81" s="15">
        <f t="shared" si="259"/>
        <v>0.270261141862079</v>
      </c>
      <c r="J81" s="15">
        <f t="shared" si="259"/>
        <v>0.13868669898882646</v>
      </c>
      <c r="K81" s="15">
        <f t="shared" si="259"/>
        <v>6.4698368615213289E-2</v>
      </c>
      <c r="U81" s="92"/>
      <c r="V81" s="92"/>
      <c r="W81" s="92"/>
      <c r="X81" s="92"/>
      <c r="Y81" s="92"/>
      <c r="Z81" s="92"/>
      <c r="AA81" s="92"/>
      <c r="AB81" s="92"/>
    </row>
    <row r="82" spans="2:28" ht="18">
      <c r="B82" s="65" t="s">
        <v>66</v>
      </c>
      <c r="C82" s="15">
        <v>30</v>
      </c>
      <c r="D82" s="15">
        <f t="shared" ref="D82:K82" si="260">C82/(1+0.1)^D43</f>
        <v>24.793388429752063</v>
      </c>
      <c r="E82" s="15">
        <f t="shared" si="260"/>
        <v>20.490403660952115</v>
      </c>
      <c r="F82" s="15">
        <f t="shared" si="260"/>
        <v>16.934217901613316</v>
      </c>
      <c r="G82" s="15">
        <f t="shared" si="260"/>
        <v>13.995221406291995</v>
      </c>
      <c r="H82" s="15">
        <f t="shared" si="260"/>
        <v>11.566298682885945</v>
      </c>
      <c r="I82" s="15">
        <f t="shared" si="260"/>
        <v>9.5589245313106961</v>
      </c>
      <c r="J82" s="15">
        <f t="shared" si="260"/>
        <v>7.899937629182392</v>
      </c>
      <c r="K82" s="15">
        <f t="shared" si="260"/>
        <v>6.528874073704455</v>
      </c>
      <c r="U82" s="92"/>
      <c r="V82" s="92"/>
      <c r="W82" s="92"/>
      <c r="X82" s="92"/>
      <c r="Y82" s="92"/>
      <c r="Z82" s="92"/>
      <c r="AA82" s="92"/>
      <c r="AB82" s="92"/>
    </row>
    <row r="83" spans="2:28" ht="18">
      <c r="B83" s="65" t="s">
        <v>68</v>
      </c>
      <c r="C83" s="15">
        <v>45</v>
      </c>
      <c r="D83" s="15">
        <f>C83/(1+0.1)^D79</f>
        <v>40.909090909090907</v>
      </c>
      <c r="E83" s="15">
        <f t="shared" ref="E83:K83" si="261">D83/(1+0.1)^E79</f>
        <v>33.809166040570993</v>
      </c>
      <c r="F83" s="15">
        <f t="shared" si="261"/>
        <v>25.401326852419974</v>
      </c>
      <c r="G83" s="15">
        <f t="shared" si="261"/>
        <v>17.349448024328918</v>
      </c>
      <c r="H83" s="15">
        <f t="shared" si="261"/>
        <v>10.772642221612355</v>
      </c>
      <c r="I83" s="15">
        <f t="shared" si="261"/>
        <v>6.0808756918967788</v>
      </c>
      <c r="J83" s="15">
        <f t="shared" si="261"/>
        <v>3.120450727248596</v>
      </c>
      <c r="K83" s="15">
        <f t="shared" si="261"/>
        <v>1.4557132938422992</v>
      </c>
      <c r="U83" s="92"/>
      <c r="V83" s="92"/>
      <c r="W83" s="92"/>
      <c r="X83" s="92"/>
      <c r="Y83" s="92"/>
      <c r="Z83" s="92"/>
      <c r="AA83" s="92"/>
      <c r="AB83" s="92"/>
    </row>
    <row r="84" spans="2:28" ht="18">
      <c r="B84" s="65" t="s">
        <v>62</v>
      </c>
      <c r="C84" s="15">
        <f t="shared" ref="C84:K84" si="262">C80+C81+C82+C83</f>
        <v>85</v>
      </c>
      <c r="D84" s="15">
        <f t="shared" si="262"/>
        <v>74.793388429752056</v>
      </c>
      <c r="E84" s="15">
        <f t="shared" si="262"/>
        <v>61.812717710538884</v>
      </c>
      <c r="F84" s="15">
        <f t="shared" si="262"/>
        <v>47.980284054571058</v>
      </c>
      <c r="G84" s="15">
        <f t="shared" si="262"/>
        <v>35.20010232491623</v>
      </c>
      <c r="H84" s="15">
        <f t="shared" si="262"/>
        <v>24.732861398189932</v>
      </c>
      <c r="I84" s="15">
        <f t="shared" si="262"/>
        <v>16.991105932517868</v>
      </c>
      <c r="J84" s="15">
        <f t="shared" si="262"/>
        <v>11.713821851375119</v>
      </c>
      <c r="K84" s="15">
        <f t="shared" si="262"/>
        <v>8.3080792106228216</v>
      </c>
      <c r="U84" s="92"/>
      <c r="V84" s="92"/>
      <c r="W84" s="92"/>
      <c r="X84" s="92"/>
      <c r="Y84" s="92"/>
      <c r="Z84" s="92"/>
      <c r="AA84" s="92"/>
      <c r="AB84" s="92"/>
    </row>
    <row r="85" spans="2:28" ht="18">
      <c r="B85" s="66" t="s">
        <v>138</v>
      </c>
      <c r="C85" s="31">
        <f>C84*1.05</f>
        <v>89.25</v>
      </c>
      <c r="D85" s="31">
        <f t="shared" ref="D85:K85" si="263">D84*1.05</f>
        <v>78.533057851239661</v>
      </c>
      <c r="E85" s="31">
        <f t="shared" si="263"/>
        <v>64.903353596065827</v>
      </c>
      <c r="F85" s="31">
        <f t="shared" si="263"/>
        <v>50.37929825729961</v>
      </c>
      <c r="G85" s="31">
        <f t="shared" si="263"/>
        <v>36.960107441162044</v>
      </c>
      <c r="H85" s="31">
        <f t="shared" si="263"/>
        <v>25.96950446809943</v>
      </c>
      <c r="I85" s="31">
        <f t="shared" si="263"/>
        <v>17.840661229143763</v>
      </c>
      <c r="J85" s="31">
        <f t="shared" si="263"/>
        <v>12.299512943943876</v>
      </c>
      <c r="K85" s="31">
        <f t="shared" si="263"/>
        <v>8.7234831711539638</v>
      </c>
      <c r="U85" s="92"/>
      <c r="V85" s="92"/>
      <c r="W85" s="92"/>
      <c r="X85" s="92"/>
      <c r="Y85" s="92"/>
      <c r="Z85" s="92"/>
      <c r="AA85" s="92"/>
      <c r="AB85" s="92"/>
    </row>
    <row r="86" spans="2:28" ht="18">
      <c r="B86" s="63" t="s">
        <v>139</v>
      </c>
      <c r="C86" s="31">
        <f>C84*1.2</f>
        <v>102</v>
      </c>
      <c r="D86" s="31">
        <f t="shared" ref="D86:K86" si="264">D84*1.2</f>
        <v>89.752066115702462</v>
      </c>
      <c r="E86" s="31">
        <f t="shared" si="264"/>
        <v>74.175261252646663</v>
      </c>
      <c r="F86" s="31">
        <f t="shared" si="264"/>
        <v>57.576340865485264</v>
      </c>
      <c r="G86" s="31">
        <f t="shared" si="264"/>
        <v>42.240122789899473</v>
      </c>
      <c r="H86" s="31">
        <f t="shared" si="264"/>
        <v>29.679433677827916</v>
      </c>
      <c r="I86" s="31">
        <f t="shared" si="264"/>
        <v>20.389327119021441</v>
      </c>
      <c r="J86" s="31">
        <f t="shared" si="264"/>
        <v>14.056586221650143</v>
      </c>
      <c r="K86" s="31">
        <f t="shared" si="264"/>
        <v>9.9696950527473849</v>
      </c>
      <c r="U86" s="92"/>
      <c r="V86" s="92"/>
      <c r="W86" s="92"/>
      <c r="X86" s="92"/>
      <c r="Y86" s="92"/>
      <c r="Z86" s="92"/>
      <c r="AA86" s="92"/>
      <c r="AB86" s="92"/>
    </row>
    <row r="87" spans="2:28" ht="15.75" thickBot="1">
      <c r="U87" s="92"/>
      <c r="V87" s="92"/>
      <c r="W87" s="92"/>
      <c r="X87" s="92"/>
      <c r="Y87" s="92"/>
      <c r="Z87" s="92"/>
      <c r="AA87" s="92"/>
      <c r="AB87" s="92"/>
    </row>
    <row r="88" spans="2:28" ht="18.75" thickBot="1">
      <c r="B88" s="382" t="s">
        <v>205</v>
      </c>
      <c r="C88" s="282"/>
      <c r="D88" s="282"/>
      <c r="E88" s="282"/>
      <c r="F88" s="282"/>
      <c r="G88" s="282"/>
      <c r="H88" s="282"/>
      <c r="I88" s="282"/>
      <c r="J88" s="282"/>
      <c r="K88" s="283"/>
      <c r="L88" s="112"/>
      <c r="M88" s="112"/>
      <c r="N88" s="112"/>
      <c r="O88" s="112"/>
      <c r="P88" s="112"/>
      <c r="Q88" s="112"/>
      <c r="R88" s="112"/>
      <c r="S88" s="112"/>
      <c r="T88" s="112"/>
      <c r="U88" s="112"/>
      <c r="V88" s="112"/>
      <c r="W88" s="112"/>
      <c r="X88" s="112"/>
      <c r="Y88" s="112"/>
      <c r="Z88" s="112"/>
      <c r="AA88" s="112"/>
      <c r="AB88" s="112"/>
    </row>
    <row r="89" spans="2:28" ht="15.75" thickBot="1">
      <c r="B89" s="92"/>
      <c r="C89" s="92"/>
      <c r="D89" s="92"/>
      <c r="E89" s="92"/>
      <c r="F89" s="92"/>
      <c r="G89" s="92"/>
      <c r="H89" s="92"/>
      <c r="I89" s="92"/>
      <c r="J89" s="92"/>
      <c r="K89" s="92"/>
      <c r="L89" s="112"/>
      <c r="M89" s="112"/>
      <c r="N89" s="112"/>
      <c r="O89" s="112"/>
      <c r="P89" s="112"/>
      <c r="Q89" s="112"/>
      <c r="R89" s="112"/>
      <c r="S89" s="112"/>
      <c r="T89" s="112"/>
      <c r="U89" s="112"/>
      <c r="V89" s="112"/>
      <c r="W89" s="112"/>
      <c r="X89" s="112"/>
      <c r="Y89" s="112"/>
      <c r="Z89" s="112"/>
      <c r="AA89" s="112"/>
      <c r="AB89" s="112"/>
    </row>
    <row r="90" spans="2:28" ht="15.75">
      <c r="B90" s="129" t="s">
        <v>201</v>
      </c>
      <c r="C90" s="132"/>
      <c r="D90" s="132"/>
      <c r="E90" s="132"/>
      <c r="F90" s="132"/>
      <c r="G90" s="132"/>
      <c r="H90" s="132"/>
      <c r="I90" s="132"/>
      <c r="J90" s="132"/>
      <c r="K90" s="133"/>
      <c r="L90" s="132"/>
      <c r="M90" s="132"/>
      <c r="N90" s="132"/>
      <c r="O90" s="132"/>
      <c r="P90" s="132"/>
      <c r="Q90" s="132"/>
      <c r="R90" s="132"/>
      <c r="S90" s="132"/>
      <c r="T90" s="132"/>
      <c r="U90" s="132"/>
      <c r="V90" s="132"/>
      <c r="W90" s="132"/>
      <c r="X90" s="132"/>
      <c r="Y90" s="132"/>
      <c r="Z90" s="132"/>
      <c r="AA90" s="132"/>
      <c r="AB90" s="132"/>
    </row>
    <row r="91" spans="2:28" ht="15.75">
      <c r="B91" s="125" t="s">
        <v>58</v>
      </c>
      <c r="C91" s="126">
        <v>0</v>
      </c>
      <c r="D91" s="126">
        <v>1</v>
      </c>
      <c r="E91" s="126">
        <f>D91+1</f>
        <v>2</v>
      </c>
      <c r="F91" s="127">
        <f>E91+1</f>
        <v>3</v>
      </c>
      <c r="G91" s="126">
        <f>F91+1</f>
        <v>4</v>
      </c>
      <c r="H91" s="130">
        <f>G91+1</f>
        <v>5</v>
      </c>
      <c r="I91" s="127">
        <v>6</v>
      </c>
      <c r="J91" s="126">
        <v>7</v>
      </c>
      <c r="K91" s="126">
        <v>8</v>
      </c>
      <c r="L91" s="126">
        <v>9</v>
      </c>
      <c r="M91" s="130">
        <v>10</v>
      </c>
      <c r="N91" s="126">
        <v>11</v>
      </c>
      <c r="O91" s="130">
        <v>12</v>
      </c>
      <c r="P91" s="126">
        <v>13</v>
      </c>
      <c r="Q91" s="130">
        <v>14</v>
      </c>
      <c r="R91" s="126">
        <v>15</v>
      </c>
      <c r="S91" s="130">
        <v>16</v>
      </c>
      <c r="T91" s="126">
        <v>17</v>
      </c>
      <c r="U91" s="126">
        <v>18</v>
      </c>
      <c r="V91" s="126">
        <v>19</v>
      </c>
      <c r="W91" s="126">
        <v>20</v>
      </c>
      <c r="X91" s="126">
        <v>21</v>
      </c>
      <c r="Y91" s="126">
        <v>22</v>
      </c>
      <c r="Z91" s="126">
        <v>23</v>
      </c>
      <c r="AA91" s="126">
        <v>24</v>
      </c>
      <c r="AB91" s="126">
        <v>25</v>
      </c>
    </row>
    <row r="92" spans="2:28" ht="15.75">
      <c r="B92" s="136" t="s">
        <v>59</v>
      </c>
      <c r="C92" s="135">
        <v>5</v>
      </c>
      <c r="D92" s="135">
        <v>5</v>
      </c>
      <c r="E92" s="135">
        <v>5</v>
      </c>
      <c r="F92" s="135">
        <v>5</v>
      </c>
      <c r="G92" s="135">
        <v>5</v>
      </c>
      <c r="H92" s="135">
        <v>5</v>
      </c>
      <c r="I92" s="135">
        <v>5</v>
      </c>
      <c r="J92" s="135">
        <v>5</v>
      </c>
      <c r="K92" s="135">
        <v>5</v>
      </c>
      <c r="L92" s="135">
        <v>5</v>
      </c>
      <c r="M92" s="135">
        <v>5</v>
      </c>
      <c r="N92" s="135">
        <v>5</v>
      </c>
      <c r="O92" s="135">
        <v>5</v>
      </c>
      <c r="P92" s="135">
        <v>5</v>
      </c>
      <c r="Q92" s="135">
        <v>5</v>
      </c>
      <c r="R92" s="135">
        <v>5</v>
      </c>
      <c r="S92" s="135">
        <v>5</v>
      </c>
      <c r="T92" s="135">
        <v>5</v>
      </c>
      <c r="U92" s="135">
        <v>5</v>
      </c>
      <c r="V92" s="135">
        <v>5</v>
      </c>
      <c r="W92" s="135">
        <v>5</v>
      </c>
      <c r="X92" s="135">
        <v>5</v>
      </c>
      <c r="Y92" s="135">
        <v>5</v>
      </c>
      <c r="Z92" s="135">
        <v>5</v>
      </c>
      <c r="AA92" s="135">
        <v>5</v>
      </c>
      <c r="AB92" s="135">
        <v>5</v>
      </c>
    </row>
    <row r="93" spans="2:28" ht="15.75">
      <c r="B93" s="136" t="s">
        <v>60</v>
      </c>
      <c r="C93" s="135">
        <v>1</v>
      </c>
      <c r="D93" s="135">
        <v>1</v>
      </c>
      <c r="E93" s="135">
        <v>1</v>
      </c>
      <c r="F93" s="135">
        <v>1</v>
      </c>
      <c r="G93" s="135">
        <v>1</v>
      </c>
      <c r="H93" s="135">
        <v>1</v>
      </c>
      <c r="I93" s="135">
        <v>1</v>
      </c>
      <c r="J93" s="135">
        <v>1</v>
      </c>
      <c r="K93" s="135">
        <v>1</v>
      </c>
      <c r="L93" s="135">
        <v>1</v>
      </c>
      <c r="M93" s="135">
        <v>1</v>
      </c>
      <c r="N93" s="135">
        <v>1</v>
      </c>
      <c r="O93" s="135">
        <v>1</v>
      </c>
      <c r="P93" s="135">
        <v>1</v>
      </c>
      <c r="Q93" s="135">
        <v>1</v>
      </c>
      <c r="R93" s="135">
        <v>1</v>
      </c>
      <c r="S93" s="135">
        <v>1</v>
      </c>
      <c r="T93" s="135">
        <v>1</v>
      </c>
      <c r="U93" s="135">
        <v>1</v>
      </c>
      <c r="V93" s="135">
        <v>1</v>
      </c>
      <c r="W93" s="135">
        <v>1</v>
      </c>
      <c r="X93" s="135">
        <v>1</v>
      </c>
      <c r="Y93" s="135">
        <v>1</v>
      </c>
      <c r="Z93" s="135">
        <v>1</v>
      </c>
      <c r="AA93" s="135">
        <v>1</v>
      </c>
      <c r="AB93" s="135">
        <v>1</v>
      </c>
    </row>
    <row r="94" spans="2:28" ht="15.75">
      <c r="B94" s="137" t="s">
        <v>66</v>
      </c>
      <c r="C94" s="128">
        <f>25*0.35</f>
        <v>8.75</v>
      </c>
      <c r="D94" s="128">
        <f t="shared" ref="D94:AB94" si="265">25*0.35</f>
        <v>8.75</v>
      </c>
      <c r="E94" s="128">
        <f t="shared" si="265"/>
        <v>8.75</v>
      </c>
      <c r="F94" s="128">
        <f t="shared" si="265"/>
        <v>8.75</v>
      </c>
      <c r="G94" s="128">
        <f t="shared" si="265"/>
        <v>8.75</v>
      </c>
      <c r="H94" s="128">
        <f t="shared" si="265"/>
        <v>8.75</v>
      </c>
      <c r="I94" s="128">
        <f t="shared" si="265"/>
        <v>8.75</v>
      </c>
      <c r="J94" s="128">
        <f t="shared" si="265"/>
        <v>8.75</v>
      </c>
      <c r="K94" s="128">
        <f t="shared" si="265"/>
        <v>8.75</v>
      </c>
      <c r="L94" s="128">
        <f t="shared" si="265"/>
        <v>8.75</v>
      </c>
      <c r="M94" s="128">
        <f t="shared" si="265"/>
        <v>8.75</v>
      </c>
      <c r="N94" s="128">
        <f t="shared" si="265"/>
        <v>8.75</v>
      </c>
      <c r="O94" s="128">
        <f t="shared" si="265"/>
        <v>8.75</v>
      </c>
      <c r="P94" s="128">
        <f t="shared" si="265"/>
        <v>8.75</v>
      </c>
      <c r="Q94" s="128">
        <f t="shared" si="265"/>
        <v>8.75</v>
      </c>
      <c r="R94" s="128">
        <f t="shared" si="265"/>
        <v>8.75</v>
      </c>
      <c r="S94" s="128">
        <f t="shared" si="265"/>
        <v>8.75</v>
      </c>
      <c r="T94" s="128">
        <f t="shared" si="265"/>
        <v>8.75</v>
      </c>
      <c r="U94" s="128">
        <f t="shared" si="265"/>
        <v>8.75</v>
      </c>
      <c r="V94" s="128">
        <f t="shared" si="265"/>
        <v>8.75</v>
      </c>
      <c r="W94" s="128">
        <f t="shared" si="265"/>
        <v>8.75</v>
      </c>
      <c r="X94" s="128">
        <f t="shared" si="265"/>
        <v>8.75</v>
      </c>
      <c r="Y94" s="128">
        <f t="shared" si="265"/>
        <v>8.75</v>
      </c>
      <c r="Z94" s="128">
        <f t="shared" si="265"/>
        <v>8.75</v>
      </c>
      <c r="AA94" s="128">
        <f t="shared" si="265"/>
        <v>8.75</v>
      </c>
      <c r="AB94" s="128">
        <f t="shared" si="265"/>
        <v>8.75</v>
      </c>
    </row>
    <row r="95" spans="2:28" ht="15.75">
      <c r="B95" s="138" t="s">
        <v>62</v>
      </c>
      <c r="C95" s="131">
        <f>C92+C93+C94</f>
        <v>14.75</v>
      </c>
      <c r="D95" s="131">
        <f t="shared" ref="D95:U95" si="266">D92+D93+D94</f>
        <v>14.75</v>
      </c>
      <c r="E95" s="131">
        <f t="shared" si="266"/>
        <v>14.75</v>
      </c>
      <c r="F95" s="131">
        <f t="shared" si="266"/>
        <v>14.75</v>
      </c>
      <c r="G95" s="131">
        <f t="shared" si="266"/>
        <v>14.75</v>
      </c>
      <c r="H95" s="131">
        <f t="shared" si="266"/>
        <v>14.75</v>
      </c>
      <c r="I95" s="131">
        <f t="shared" si="266"/>
        <v>14.75</v>
      </c>
      <c r="J95" s="131">
        <f t="shared" si="266"/>
        <v>14.75</v>
      </c>
      <c r="K95" s="131">
        <f t="shared" si="266"/>
        <v>14.75</v>
      </c>
      <c r="L95" s="131">
        <f t="shared" si="266"/>
        <v>14.75</v>
      </c>
      <c r="M95" s="131">
        <f t="shared" si="266"/>
        <v>14.75</v>
      </c>
      <c r="N95" s="131">
        <f t="shared" si="266"/>
        <v>14.75</v>
      </c>
      <c r="O95" s="131">
        <f t="shared" si="266"/>
        <v>14.75</v>
      </c>
      <c r="P95" s="131">
        <f t="shared" si="266"/>
        <v>14.75</v>
      </c>
      <c r="Q95" s="131">
        <f t="shared" si="266"/>
        <v>14.75</v>
      </c>
      <c r="R95" s="131">
        <f t="shared" si="266"/>
        <v>14.75</v>
      </c>
      <c r="S95" s="131">
        <f t="shared" si="266"/>
        <v>14.75</v>
      </c>
      <c r="T95" s="131">
        <f t="shared" si="266"/>
        <v>14.75</v>
      </c>
      <c r="U95" s="131">
        <f t="shared" si="266"/>
        <v>14.75</v>
      </c>
      <c r="V95" s="131">
        <f t="shared" ref="V95:W95" si="267">V92+V93+V94</f>
        <v>14.75</v>
      </c>
      <c r="W95" s="131">
        <f t="shared" si="267"/>
        <v>14.75</v>
      </c>
      <c r="X95" s="131">
        <f t="shared" ref="X95:AB95" si="268">X92+X93+X94</f>
        <v>14.75</v>
      </c>
      <c r="Y95" s="131">
        <f t="shared" si="268"/>
        <v>14.75</v>
      </c>
      <c r="Z95" s="131">
        <f t="shared" si="268"/>
        <v>14.75</v>
      </c>
      <c r="AA95" s="131">
        <f t="shared" si="268"/>
        <v>14.75</v>
      </c>
      <c r="AB95" s="131">
        <f t="shared" si="268"/>
        <v>14.75</v>
      </c>
    </row>
    <row r="96" spans="2:28" ht="15.75">
      <c r="B96" s="81" t="s">
        <v>138</v>
      </c>
      <c r="C96" s="422">
        <f>C95*$C$3</f>
        <v>15.487500000000001</v>
      </c>
      <c r="D96" s="422">
        <f t="shared" ref="D96" si="269">D95*$C$3</f>
        <v>15.487500000000001</v>
      </c>
      <c r="E96" s="422">
        <f t="shared" ref="E96" si="270">E95*$C$3</f>
        <v>15.487500000000001</v>
      </c>
      <c r="F96" s="422">
        <f t="shared" ref="F96" si="271">F95*$C$3</f>
        <v>15.487500000000001</v>
      </c>
      <c r="G96" s="422">
        <f t="shared" ref="G96" si="272">G95*$C$3</f>
        <v>15.487500000000001</v>
      </c>
      <c r="H96" s="423">
        <f>H95*$D$3</f>
        <v>15.045</v>
      </c>
      <c r="I96" s="423">
        <f t="shared" ref="I96" si="273">I95*$D$3</f>
        <v>15.045</v>
      </c>
      <c r="J96" s="423">
        <f t="shared" ref="J96" si="274">J95*$D$3</f>
        <v>15.045</v>
      </c>
      <c r="K96" s="423">
        <f t="shared" ref="K96" si="275">K95*$D$3</f>
        <v>15.045</v>
      </c>
      <c r="L96" s="423">
        <f t="shared" ref="L96" si="276">L95*$D$3</f>
        <v>15.045</v>
      </c>
      <c r="M96" s="423">
        <f t="shared" ref="M96" si="277">M95*$D$3</f>
        <v>15.045</v>
      </c>
      <c r="N96" s="423">
        <f t="shared" ref="N96" si="278">N95*$D$3</f>
        <v>15.045</v>
      </c>
      <c r="O96" s="423">
        <f t="shared" ref="O96" si="279">O95*$D$3</f>
        <v>15.045</v>
      </c>
      <c r="P96" s="423">
        <f t="shared" ref="P96" si="280">P95*$D$3</f>
        <v>15.045</v>
      </c>
      <c r="Q96" s="423">
        <f t="shared" ref="Q96" si="281">Q95*$D$3</f>
        <v>15.045</v>
      </c>
      <c r="R96" s="423">
        <f t="shared" ref="R96" si="282">R95*$D$3</f>
        <v>15.045</v>
      </c>
      <c r="S96" s="423">
        <f t="shared" ref="S96" si="283">S95*$D$3</f>
        <v>15.045</v>
      </c>
      <c r="T96" s="423">
        <f t="shared" ref="T96" si="284">T95*$D$3</f>
        <v>15.045</v>
      </c>
      <c r="U96" s="423">
        <f t="shared" ref="U96" si="285">U95*$D$3</f>
        <v>15.045</v>
      </c>
      <c r="V96" s="423">
        <f t="shared" ref="V96" si="286">V95*$D$3</f>
        <v>15.045</v>
      </c>
      <c r="W96" s="423">
        <f t="shared" ref="W96" si="287">W95*$D$3</f>
        <v>15.045</v>
      </c>
      <c r="X96" s="423">
        <f t="shared" ref="X96" si="288">X95*$D$3</f>
        <v>15.045</v>
      </c>
      <c r="Y96" s="423">
        <f t="shared" ref="Y96" si="289">Y95*$D$3</f>
        <v>15.045</v>
      </c>
      <c r="Z96" s="423">
        <f t="shared" ref="Z96" si="290">Z95*$D$3</f>
        <v>15.045</v>
      </c>
      <c r="AA96" s="423">
        <f t="shared" ref="AA96" si="291">AA95*$D$3</f>
        <v>15.045</v>
      </c>
      <c r="AB96" s="423">
        <f t="shared" ref="AB96" si="292">AB95*$D$3</f>
        <v>15.045</v>
      </c>
    </row>
    <row r="97" spans="1:28" ht="16.5" thickBot="1">
      <c r="B97" s="75" t="s">
        <v>139</v>
      </c>
      <c r="C97" s="424">
        <f>C95*$C$4</f>
        <v>17.7</v>
      </c>
      <c r="D97" s="424">
        <f t="shared" ref="D97:G97" si="293">D95*$C$4</f>
        <v>17.7</v>
      </c>
      <c r="E97" s="424">
        <f t="shared" si="293"/>
        <v>17.7</v>
      </c>
      <c r="F97" s="424">
        <f t="shared" si="293"/>
        <v>17.7</v>
      </c>
      <c r="G97" s="424">
        <f t="shared" si="293"/>
        <v>17.7</v>
      </c>
      <c r="H97" s="425">
        <f>H95*$D$4</f>
        <v>15.487500000000001</v>
      </c>
      <c r="I97" s="425">
        <f t="shared" ref="I97:W97" si="294">I95*$D$4</f>
        <v>15.487500000000001</v>
      </c>
      <c r="J97" s="425">
        <f t="shared" si="294"/>
        <v>15.487500000000001</v>
      </c>
      <c r="K97" s="425">
        <f t="shared" si="294"/>
        <v>15.487500000000001</v>
      </c>
      <c r="L97" s="425">
        <f t="shared" si="294"/>
        <v>15.487500000000001</v>
      </c>
      <c r="M97" s="425">
        <f t="shared" si="294"/>
        <v>15.487500000000001</v>
      </c>
      <c r="N97" s="425">
        <f t="shared" si="294"/>
        <v>15.487500000000001</v>
      </c>
      <c r="O97" s="425">
        <f t="shared" si="294"/>
        <v>15.487500000000001</v>
      </c>
      <c r="P97" s="425">
        <f t="shared" si="294"/>
        <v>15.487500000000001</v>
      </c>
      <c r="Q97" s="425">
        <f t="shared" si="294"/>
        <v>15.487500000000001</v>
      </c>
      <c r="R97" s="425">
        <f t="shared" si="294"/>
        <v>15.487500000000001</v>
      </c>
      <c r="S97" s="425">
        <f t="shared" si="294"/>
        <v>15.487500000000001</v>
      </c>
      <c r="T97" s="425">
        <f t="shared" si="294"/>
        <v>15.487500000000001</v>
      </c>
      <c r="U97" s="425">
        <f t="shared" si="294"/>
        <v>15.487500000000001</v>
      </c>
      <c r="V97" s="425">
        <f t="shared" si="294"/>
        <v>15.487500000000001</v>
      </c>
      <c r="W97" s="425">
        <f t="shared" si="294"/>
        <v>15.487500000000001</v>
      </c>
      <c r="X97" s="425">
        <f t="shared" ref="X97:AB97" si="295">X95*$D$4</f>
        <v>15.487500000000001</v>
      </c>
      <c r="Y97" s="425">
        <f t="shared" si="295"/>
        <v>15.487500000000001</v>
      </c>
      <c r="Z97" s="425">
        <f t="shared" si="295"/>
        <v>15.487500000000001</v>
      </c>
      <c r="AA97" s="425">
        <f t="shared" si="295"/>
        <v>15.487500000000001</v>
      </c>
      <c r="AB97" s="425">
        <f t="shared" si="295"/>
        <v>15.487500000000001</v>
      </c>
    </row>
    <row r="98" spans="1:28" ht="15.75" thickBot="1">
      <c r="B98" s="92"/>
      <c r="C98" s="92"/>
      <c r="D98" s="92"/>
      <c r="E98" s="92"/>
      <c r="F98" s="92"/>
      <c r="G98" s="92"/>
      <c r="H98" s="92"/>
      <c r="I98" s="92"/>
      <c r="J98" s="92"/>
      <c r="K98" s="92"/>
      <c r="L98" s="92"/>
      <c r="M98" s="92"/>
      <c r="N98" s="92"/>
      <c r="O98" s="92"/>
      <c r="P98" s="92"/>
      <c r="Q98" s="92"/>
      <c r="R98" s="92"/>
      <c r="S98" s="92"/>
      <c r="T98" s="92"/>
      <c r="U98" s="92"/>
      <c r="V98" s="92"/>
      <c r="W98" s="92"/>
      <c r="X98" s="92"/>
      <c r="Y98" s="92"/>
      <c r="Z98" s="92"/>
      <c r="AA98" s="92"/>
      <c r="AB98" s="92"/>
    </row>
    <row r="99" spans="1:28" ht="15.75">
      <c r="B99" s="129" t="s">
        <v>204</v>
      </c>
      <c r="C99" s="40"/>
      <c r="D99" s="40"/>
      <c r="E99" s="40"/>
      <c r="F99" s="40"/>
      <c r="G99" s="40"/>
      <c r="H99" s="40"/>
      <c r="I99" s="40"/>
      <c r="J99" s="40"/>
      <c r="K99" s="41"/>
      <c r="L99" s="40"/>
      <c r="M99" s="40"/>
      <c r="N99" s="40"/>
      <c r="O99" s="40"/>
      <c r="P99" s="40"/>
      <c r="Q99" s="40"/>
      <c r="R99" s="40"/>
      <c r="S99" s="40"/>
      <c r="T99" s="40"/>
      <c r="U99" s="40"/>
      <c r="V99" s="40"/>
      <c r="W99" s="40"/>
      <c r="X99" s="40"/>
      <c r="Y99" s="40"/>
      <c r="Z99" s="40"/>
      <c r="AA99" s="40"/>
      <c r="AB99" s="40"/>
    </row>
    <row r="100" spans="1:28" ht="15.75">
      <c r="B100" s="125" t="s">
        <v>58</v>
      </c>
      <c r="C100" s="126">
        <v>0</v>
      </c>
      <c r="D100" s="126">
        <v>1</v>
      </c>
      <c r="E100" s="126">
        <f>D100+1</f>
        <v>2</v>
      </c>
      <c r="F100" s="127">
        <f>E100+1</f>
        <v>3</v>
      </c>
      <c r="G100" s="126">
        <f>F100+1</f>
        <v>4</v>
      </c>
      <c r="H100" s="130">
        <f>G100+1</f>
        <v>5</v>
      </c>
      <c r="I100" s="127">
        <v>6</v>
      </c>
      <c r="J100" s="126">
        <v>7</v>
      </c>
      <c r="K100" s="130">
        <v>8</v>
      </c>
      <c r="L100" s="126">
        <v>9</v>
      </c>
      <c r="M100" s="130">
        <v>10</v>
      </c>
      <c r="N100" s="126">
        <v>11</v>
      </c>
      <c r="O100" s="130">
        <v>12</v>
      </c>
      <c r="P100" s="126">
        <v>13</v>
      </c>
      <c r="Q100" s="130">
        <v>14</v>
      </c>
      <c r="R100" s="126">
        <v>15</v>
      </c>
      <c r="S100" s="130">
        <v>16</v>
      </c>
      <c r="T100" s="126">
        <v>17</v>
      </c>
      <c r="U100" s="126">
        <v>18</v>
      </c>
      <c r="V100" s="126">
        <v>19</v>
      </c>
      <c r="W100" s="126">
        <v>20</v>
      </c>
      <c r="X100" s="126">
        <v>21</v>
      </c>
      <c r="Y100" s="126">
        <v>22</v>
      </c>
      <c r="Z100" s="126">
        <v>23</v>
      </c>
      <c r="AA100" s="126">
        <v>24</v>
      </c>
      <c r="AB100" s="126">
        <v>25</v>
      </c>
    </row>
    <row r="101" spans="1:28" ht="15.75">
      <c r="B101" s="136" t="s">
        <v>59</v>
      </c>
      <c r="C101" s="128">
        <v>8</v>
      </c>
      <c r="D101" s="128">
        <v>8</v>
      </c>
      <c r="E101" s="128">
        <v>8</v>
      </c>
      <c r="F101" s="128">
        <v>8</v>
      </c>
      <c r="G101" s="128">
        <v>8</v>
      </c>
      <c r="H101" s="128">
        <v>8</v>
      </c>
      <c r="I101" s="128">
        <v>8</v>
      </c>
      <c r="J101" s="128">
        <v>8</v>
      </c>
      <c r="K101" s="128">
        <v>8</v>
      </c>
      <c r="L101" s="128">
        <v>8</v>
      </c>
      <c r="M101" s="128">
        <v>8</v>
      </c>
      <c r="N101" s="128">
        <v>8</v>
      </c>
      <c r="O101" s="128">
        <v>8</v>
      </c>
      <c r="P101" s="128">
        <v>8</v>
      </c>
      <c r="Q101" s="128">
        <v>8</v>
      </c>
      <c r="R101" s="128">
        <v>8</v>
      </c>
      <c r="S101" s="128">
        <v>8</v>
      </c>
      <c r="T101" s="128">
        <v>8</v>
      </c>
      <c r="U101" s="128">
        <v>8</v>
      </c>
      <c r="V101" s="128">
        <v>8</v>
      </c>
      <c r="W101" s="128">
        <v>8</v>
      </c>
      <c r="X101" s="128">
        <v>8</v>
      </c>
      <c r="Y101" s="128">
        <v>8</v>
      </c>
      <c r="Z101" s="128">
        <v>8</v>
      </c>
      <c r="AA101" s="128">
        <v>8</v>
      </c>
      <c r="AB101" s="128">
        <v>8</v>
      </c>
    </row>
    <row r="102" spans="1:28" ht="15.75">
      <c r="B102" s="136" t="s">
        <v>60</v>
      </c>
      <c r="C102" s="128">
        <v>2</v>
      </c>
      <c r="D102" s="128">
        <v>2</v>
      </c>
      <c r="E102" s="128">
        <v>2</v>
      </c>
      <c r="F102" s="128">
        <v>2</v>
      </c>
      <c r="G102" s="128">
        <v>2</v>
      </c>
      <c r="H102" s="128">
        <v>2</v>
      </c>
      <c r="I102" s="128">
        <v>2</v>
      </c>
      <c r="J102" s="128">
        <v>2</v>
      </c>
      <c r="K102" s="128">
        <v>2</v>
      </c>
      <c r="L102" s="128">
        <v>2</v>
      </c>
      <c r="M102" s="128">
        <v>2</v>
      </c>
      <c r="N102" s="128">
        <v>2</v>
      </c>
      <c r="O102" s="128">
        <v>2</v>
      </c>
      <c r="P102" s="128">
        <v>2</v>
      </c>
      <c r="Q102" s="128">
        <v>2</v>
      </c>
      <c r="R102" s="128">
        <v>2</v>
      </c>
      <c r="S102" s="128">
        <v>2</v>
      </c>
      <c r="T102" s="128">
        <v>2</v>
      </c>
      <c r="U102" s="128">
        <v>2</v>
      </c>
      <c r="V102" s="128">
        <v>2</v>
      </c>
      <c r="W102" s="128">
        <v>2</v>
      </c>
      <c r="X102" s="128">
        <v>2</v>
      </c>
      <c r="Y102" s="128">
        <v>2</v>
      </c>
      <c r="Z102" s="128">
        <v>2</v>
      </c>
      <c r="AA102" s="128">
        <v>2</v>
      </c>
      <c r="AB102" s="128">
        <v>2</v>
      </c>
    </row>
    <row r="103" spans="1:28" ht="15.75">
      <c r="B103" s="137" t="s">
        <v>66</v>
      </c>
      <c r="C103" s="128">
        <f>30*0.35</f>
        <v>10.5</v>
      </c>
      <c r="D103" s="128">
        <f t="shared" ref="D103:AB103" si="296">30*0.35</f>
        <v>10.5</v>
      </c>
      <c r="E103" s="128">
        <f t="shared" si="296"/>
        <v>10.5</v>
      </c>
      <c r="F103" s="128">
        <f t="shared" si="296"/>
        <v>10.5</v>
      </c>
      <c r="G103" s="128">
        <f t="shared" si="296"/>
        <v>10.5</v>
      </c>
      <c r="H103" s="128">
        <f t="shared" si="296"/>
        <v>10.5</v>
      </c>
      <c r="I103" s="128">
        <f t="shared" si="296"/>
        <v>10.5</v>
      </c>
      <c r="J103" s="128">
        <f t="shared" si="296"/>
        <v>10.5</v>
      </c>
      <c r="K103" s="128">
        <f t="shared" si="296"/>
        <v>10.5</v>
      </c>
      <c r="L103" s="128">
        <f t="shared" si="296"/>
        <v>10.5</v>
      </c>
      <c r="M103" s="128">
        <f t="shared" si="296"/>
        <v>10.5</v>
      </c>
      <c r="N103" s="128">
        <f t="shared" si="296"/>
        <v>10.5</v>
      </c>
      <c r="O103" s="128">
        <f t="shared" si="296"/>
        <v>10.5</v>
      </c>
      <c r="P103" s="128">
        <f t="shared" si="296"/>
        <v>10.5</v>
      </c>
      <c r="Q103" s="128">
        <f t="shared" si="296"/>
        <v>10.5</v>
      </c>
      <c r="R103" s="128">
        <f t="shared" si="296"/>
        <v>10.5</v>
      </c>
      <c r="S103" s="128">
        <f t="shared" si="296"/>
        <v>10.5</v>
      </c>
      <c r="T103" s="128">
        <f t="shared" si="296"/>
        <v>10.5</v>
      </c>
      <c r="U103" s="128">
        <f t="shared" si="296"/>
        <v>10.5</v>
      </c>
      <c r="V103" s="128">
        <f t="shared" si="296"/>
        <v>10.5</v>
      </c>
      <c r="W103" s="128">
        <f t="shared" si="296"/>
        <v>10.5</v>
      </c>
      <c r="X103" s="128">
        <f t="shared" si="296"/>
        <v>10.5</v>
      </c>
      <c r="Y103" s="128">
        <f t="shared" si="296"/>
        <v>10.5</v>
      </c>
      <c r="Z103" s="128">
        <f t="shared" si="296"/>
        <v>10.5</v>
      </c>
      <c r="AA103" s="128">
        <f t="shared" si="296"/>
        <v>10.5</v>
      </c>
      <c r="AB103" s="128">
        <f t="shared" si="296"/>
        <v>10.5</v>
      </c>
    </row>
    <row r="104" spans="1:28" ht="15.75">
      <c r="B104" s="364" t="s">
        <v>62</v>
      </c>
      <c r="C104" s="134">
        <f t="shared" ref="C104:U104" si="297">C101+C102+C103</f>
        <v>20.5</v>
      </c>
      <c r="D104" s="134">
        <f t="shared" si="297"/>
        <v>20.5</v>
      </c>
      <c r="E104" s="134">
        <f t="shared" si="297"/>
        <v>20.5</v>
      </c>
      <c r="F104" s="134">
        <f t="shared" si="297"/>
        <v>20.5</v>
      </c>
      <c r="G104" s="139">
        <f t="shared" si="297"/>
        <v>20.5</v>
      </c>
      <c r="H104" s="139">
        <f t="shared" si="297"/>
        <v>20.5</v>
      </c>
      <c r="I104" s="139">
        <f t="shared" si="297"/>
        <v>20.5</v>
      </c>
      <c r="J104" s="139">
        <f t="shared" si="297"/>
        <v>20.5</v>
      </c>
      <c r="K104" s="139">
        <f t="shared" si="297"/>
        <v>20.5</v>
      </c>
      <c r="L104" s="139">
        <f t="shared" si="297"/>
        <v>20.5</v>
      </c>
      <c r="M104" s="139">
        <f t="shared" si="297"/>
        <v>20.5</v>
      </c>
      <c r="N104" s="139">
        <f t="shared" si="297"/>
        <v>20.5</v>
      </c>
      <c r="O104" s="139">
        <f t="shared" si="297"/>
        <v>20.5</v>
      </c>
      <c r="P104" s="139">
        <f t="shared" si="297"/>
        <v>20.5</v>
      </c>
      <c r="Q104" s="139">
        <f t="shared" si="297"/>
        <v>20.5</v>
      </c>
      <c r="R104" s="139">
        <f t="shared" si="297"/>
        <v>20.5</v>
      </c>
      <c r="S104" s="139">
        <f t="shared" si="297"/>
        <v>20.5</v>
      </c>
      <c r="T104" s="139">
        <f t="shared" si="297"/>
        <v>20.5</v>
      </c>
      <c r="U104" s="139">
        <f t="shared" si="297"/>
        <v>20.5</v>
      </c>
      <c r="V104" s="139">
        <f t="shared" ref="V104:W104" si="298">V101+V102+V103</f>
        <v>20.5</v>
      </c>
      <c r="W104" s="139">
        <f t="shared" si="298"/>
        <v>20.5</v>
      </c>
      <c r="X104" s="139">
        <f t="shared" ref="X104:AB104" si="299">X101+X102+X103</f>
        <v>20.5</v>
      </c>
      <c r="Y104" s="139">
        <f t="shared" si="299"/>
        <v>20.5</v>
      </c>
      <c r="Z104" s="139">
        <f t="shared" si="299"/>
        <v>20.5</v>
      </c>
      <c r="AA104" s="139">
        <f t="shared" si="299"/>
        <v>20.5</v>
      </c>
      <c r="AB104" s="139">
        <f t="shared" si="299"/>
        <v>20.5</v>
      </c>
    </row>
    <row r="105" spans="1:28" ht="15.75">
      <c r="B105" s="81" t="s">
        <v>138</v>
      </c>
      <c r="C105" s="422">
        <f>C104*$C$3</f>
        <v>21.525000000000002</v>
      </c>
      <c r="D105" s="422">
        <f t="shared" ref="D105" si="300">D104*$C$3</f>
        <v>21.525000000000002</v>
      </c>
      <c r="E105" s="422">
        <f t="shared" ref="E105" si="301">E104*$C$3</f>
        <v>21.525000000000002</v>
      </c>
      <c r="F105" s="422">
        <f t="shared" ref="F105" si="302">F104*$C$3</f>
        <v>21.525000000000002</v>
      </c>
      <c r="G105" s="422">
        <f t="shared" ref="G105" si="303">G104*$C$3</f>
        <v>21.525000000000002</v>
      </c>
      <c r="H105" s="423">
        <f>H104*$D$3</f>
        <v>20.91</v>
      </c>
      <c r="I105" s="423">
        <f t="shared" ref="I105" si="304">I104*$D$3</f>
        <v>20.91</v>
      </c>
      <c r="J105" s="423">
        <f t="shared" ref="J105" si="305">J104*$D$3</f>
        <v>20.91</v>
      </c>
      <c r="K105" s="423">
        <f t="shared" ref="K105" si="306">K104*$D$3</f>
        <v>20.91</v>
      </c>
      <c r="L105" s="423">
        <f t="shared" ref="L105" si="307">L104*$D$3</f>
        <v>20.91</v>
      </c>
      <c r="M105" s="423">
        <f t="shared" ref="M105" si="308">M104*$D$3</f>
        <v>20.91</v>
      </c>
      <c r="N105" s="423">
        <f t="shared" ref="N105" si="309">N104*$D$3</f>
        <v>20.91</v>
      </c>
      <c r="O105" s="423">
        <f t="shared" ref="O105" si="310">O104*$D$3</f>
        <v>20.91</v>
      </c>
      <c r="P105" s="423">
        <f t="shared" ref="P105" si="311">P104*$D$3</f>
        <v>20.91</v>
      </c>
      <c r="Q105" s="423">
        <f t="shared" ref="Q105" si="312">Q104*$D$3</f>
        <v>20.91</v>
      </c>
      <c r="R105" s="423">
        <f t="shared" ref="R105" si="313">R104*$D$3</f>
        <v>20.91</v>
      </c>
      <c r="S105" s="423">
        <f t="shared" ref="S105" si="314">S104*$D$3</f>
        <v>20.91</v>
      </c>
      <c r="T105" s="423">
        <f t="shared" ref="T105" si="315">T104*$D$3</f>
        <v>20.91</v>
      </c>
      <c r="U105" s="423">
        <f t="shared" ref="U105" si="316">U104*$D$3</f>
        <v>20.91</v>
      </c>
      <c r="V105" s="423">
        <f t="shared" ref="V105" si="317">V104*$D$3</f>
        <v>20.91</v>
      </c>
      <c r="W105" s="423">
        <f t="shared" ref="W105" si="318">W104*$D$3</f>
        <v>20.91</v>
      </c>
      <c r="X105" s="423">
        <f t="shared" ref="X105" si="319">X104*$D$3</f>
        <v>20.91</v>
      </c>
      <c r="Y105" s="423">
        <f t="shared" ref="Y105" si="320">Y104*$D$3</f>
        <v>20.91</v>
      </c>
      <c r="Z105" s="423">
        <f t="shared" ref="Z105" si="321">Z104*$D$3</f>
        <v>20.91</v>
      </c>
      <c r="AA105" s="423">
        <f t="shared" ref="AA105" si="322">AA104*$D$3</f>
        <v>20.91</v>
      </c>
      <c r="AB105" s="423">
        <f t="shared" ref="AB105" si="323">AB104*$D$3</f>
        <v>20.91</v>
      </c>
    </row>
    <row r="106" spans="1:28" ht="16.5" thickBot="1">
      <c r="B106" s="75" t="s">
        <v>139</v>
      </c>
      <c r="C106" s="424">
        <f>C104*$C$4</f>
        <v>24.599999999999998</v>
      </c>
      <c r="D106" s="424">
        <f t="shared" ref="D106:G106" si="324">D104*$C$4</f>
        <v>24.599999999999998</v>
      </c>
      <c r="E106" s="424">
        <f t="shared" si="324"/>
        <v>24.599999999999998</v>
      </c>
      <c r="F106" s="424">
        <f t="shared" si="324"/>
        <v>24.599999999999998</v>
      </c>
      <c r="G106" s="424">
        <f t="shared" si="324"/>
        <v>24.599999999999998</v>
      </c>
      <c r="H106" s="425">
        <f>H104*$D$4</f>
        <v>21.525000000000002</v>
      </c>
      <c r="I106" s="425">
        <f t="shared" ref="I106:W106" si="325">I104*$D$4</f>
        <v>21.525000000000002</v>
      </c>
      <c r="J106" s="425">
        <f t="shared" si="325"/>
        <v>21.525000000000002</v>
      </c>
      <c r="K106" s="425">
        <f t="shared" si="325"/>
        <v>21.525000000000002</v>
      </c>
      <c r="L106" s="425">
        <f t="shared" si="325"/>
        <v>21.525000000000002</v>
      </c>
      <c r="M106" s="425">
        <f t="shared" si="325"/>
        <v>21.525000000000002</v>
      </c>
      <c r="N106" s="425">
        <f t="shared" si="325"/>
        <v>21.525000000000002</v>
      </c>
      <c r="O106" s="425">
        <f t="shared" si="325"/>
        <v>21.525000000000002</v>
      </c>
      <c r="P106" s="425">
        <f t="shared" si="325"/>
        <v>21.525000000000002</v>
      </c>
      <c r="Q106" s="425">
        <f t="shared" si="325"/>
        <v>21.525000000000002</v>
      </c>
      <c r="R106" s="425">
        <f t="shared" si="325"/>
        <v>21.525000000000002</v>
      </c>
      <c r="S106" s="425">
        <f t="shared" si="325"/>
        <v>21.525000000000002</v>
      </c>
      <c r="T106" s="425">
        <f t="shared" si="325"/>
        <v>21.525000000000002</v>
      </c>
      <c r="U106" s="425">
        <f t="shared" si="325"/>
        <v>21.525000000000002</v>
      </c>
      <c r="V106" s="425">
        <f t="shared" si="325"/>
        <v>21.525000000000002</v>
      </c>
      <c r="W106" s="425">
        <f t="shared" si="325"/>
        <v>21.525000000000002</v>
      </c>
      <c r="X106" s="425">
        <f t="shared" ref="X106:AB106" si="326">X104*$D$4</f>
        <v>21.525000000000002</v>
      </c>
      <c r="Y106" s="425">
        <f t="shared" si="326"/>
        <v>21.525000000000002</v>
      </c>
      <c r="Z106" s="425">
        <f t="shared" si="326"/>
        <v>21.525000000000002</v>
      </c>
      <c r="AA106" s="425">
        <f t="shared" si="326"/>
        <v>21.525000000000002</v>
      </c>
      <c r="AB106" s="425">
        <f t="shared" si="326"/>
        <v>21.525000000000002</v>
      </c>
    </row>
    <row r="108" spans="1:28" ht="15.75" thickBot="1"/>
    <row r="109" spans="1:28" s="92" customFormat="1" ht="18.75" thickBot="1">
      <c r="A109" s="112"/>
      <c r="B109" s="382" t="s">
        <v>234</v>
      </c>
      <c r="C109" s="282"/>
      <c r="D109" s="282"/>
      <c r="E109" s="282"/>
      <c r="F109" s="282"/>
      <c r="G109" s="282"/>
      <c r="H109" s="282"/>
      <c r="I109" s="282"/>
      <c r="J109" s="282"/>
      <c r="K109" s="283"/>
      <c r="L109" s="112"/>
      <c r="M109" s="112"/>
      <c r="N109" s="112"/>
      <c r="O109" s="112"/>
      <c r="P109" s="112"/>
      <c r="Q109" s="112"/>
      <c r="R109" s="112"/>
      <c r="S109" s="112"/>
      <c r="T109" s="112"/>
      <c r="U109" s="112"/>
      <c r="V109" s="112"/>
      <c r="W109" s="112"/>
      <c r="X109" s="112"/>
      <c r="Y109" s="112"/>
      <c r="Z109" s="112"/>
      <c r="AA109" s="112"/>
      <c r="AB109" s="112"/>
    </row>
    <row r="110" spans="1:28" s="92" customFormat="1" ht="15.75" thickBot="1">
      <c r="A110" s="112"/>
      <c r="L110" s="112"/>
      <c r="M110" s="112"/>
      <c r="N110" s="112"/>
      <c r="O110" s="112"/>
      <c r="P110" s="112"/>
      <c r="Q110" s="112"/>
      <c r="R110" s="112"/>
      <c r="S110" s="112"/>
      <c r="T110" s="112"/>
      <c r="U110" s="112"/>
      <c r="V110" s="112"/>
      <c r="W110" s="112"/>
      <c r="X110" s="112"/>
      <c r="Y110" s="112"/>
      <c r="Z110" s="112"/>
      <c r="AA110" s="112"/>
      <c r="AB110" s="112"/>
    </row>
    <row r="111" spans="1:28" s="92" customFormat="1" ht="15.75">
      <c r="A111" s="112"/>
      <c r="B111" s="129" t="s">
        <v>201</v>
      </c>
      <c r="C111" s="132"/>
      <c r="D111" s="132"/>
      <c r="E111" s="132"/>
      <c r="F111" s="132"/>
      <c r="G111" s="132"/>
      <c r="H111" s="132"/>
      <c r="I111" s="132"/>
      <c r="J111" s="132"/>
      <c r="K111" s="133"/>
      <c r="L111" s="132"/>
      <c r="M111" s="132"/>
      <c r="N111" s="132"/>
      <c r="O111" s="132"/>
      <c r="P111" s="132"/>
      <c r="Q111" s="132"/>
      <c r="R111" s="132"/>
      <c r="S111" s="132"/>
      <c r="T111" s="132"/>
      <c r="U111" s="132"/>
      <c r="V111" s="132"/>
      <c r="W111" s="132"/>
      <c r="X111" s="132"/>
      <c r="Y111" s="132"/>
      <c r="Z111" s="132"/>
      <c r="AA111" s="132"/>
      <c r="AB111" s="132"/>
    </row>
    <row r="112" spans="1:28" s="92" customFormat="1" ht="15.75">
      <c r="A112" s="112"/>
      <c r="B112" s="125" t="s">
        <v>58</v>
      </c>
      <c r="C112" s="126">
        <v>0</v>
      </c>
      <c r="D112" s="126">
        <v>1</v>
      </c>
      <c r="E112" s="126">
        <f>D112+1</f>
        <v>2</v>
      </c>
      <c r="F112" s="127">
        <f>E112+1</f>
        <v>3</v>
      </c>
      <c r="G112" s="126">
        <f>F112+1</f>
        <v>4</v>
      </c>
      <c r="H112" s="130">
        <f>G112+1</f>
        <v>5</v>
      </c>
      <c r="I112" s="127">
        <v>6</v>
      </c>
      <c r="J112" s="126">
        <v>7</v>
      </c>
      <c r="K112" s="126">
        <v>8</v>
      </c>
      <c r="L112" s="126">
        <v>9</v>
      </c>
      <c r="M112" s="130">
        <v>10</v>
      </c>
      <c r="N112" s="126">
        <v>11</v>
      </c>
      <c r="O112" s="130">
        <v>12</v>
      </c>
      <c r="P112" s="126">
        <v>13</v>
      </c>
      <c r="Q112" s="130">
        <v>14</v>
      </c>
      <c r="R112" s="126">
        <v>15</v>
      </c>
      <c r="S112" s="130">
        <v>16</v>
      </c>
      <c r="T112" s="126">
        <v>17</v>
      </c>
      <c r="U112" s="126">
        <v>18</v>
      </c>
      <c r="V112" s="126">
        <v>19</v>
      </c>
      <c r="W112" s="126">
        <v>20</v>
      </c>
      <c r="X112" s="126">
        <v>21</v>
      </c>
      <c r="Y112" s="126">
        <v>22</v>
      </c>
      <c r="Z112" s="126">
        <v>23</v>
      </c>
      <c r="AA112" s="126">
        <v>24</v>
      </c>
      <c r="AB112" s="126">
        <v>25</v>
      </c>
    </row>
    <row r="113" spans="1:28" s="92" customFormat="1" ht="15.75">
      <c r="A113" s="112"/>
      <c r="B113" s="136" t="s">
        <v>59</v>
      </c>
      <c r="C113" s="135">
        <v>5</v>
      </c>
      <c r="D113" s="135">
        <v>5</v>
      </c>
      <c r="E113" s="135">
        <v>5</v>
      </c>
      <c r="F113" s="135">
        <v>5</v>
      </c>
      <c r="G113" s="135">
        <v>5</v>
      </c>
      <c r="H113" s="135">
        <v>5</v>
      </c>
      <c r="I113" s="135">
        <v>5</v>
      </c>
      <c r="J113" s="135">
        <v>5</v>
      </c>
      <c r="K113" s="135">
        <v>5</v>
      </c>
      <c r="L113" s="135">
        <v>5</v>
      </c>
      <c r="M113" s="135">
        <v>5</v>
      </c>
      <c r="N113" s="135">
        <v>5</v>
      </c>
      <c r="O113" s="135">
        <v>5</v>
      </c>
      <c r="P113" s="135">
        <v>5</v>
      </c>
      <c r="Q113" s="135">
        <v>5</v>
      </c>
      <c r="R113" s="135">
        <v>5</v>
      </c>
      <c r="S113" s="135">
        <v>5</v>
      </c>
      <c r="T113" s="135">
        <v>5</v>
      </c>
      <c r="U113" s="135">
        <v>5</v>
      </c>
      <c r="V113" s="135">
        <v>5</v>
      </c>
      <c r="W113" s="135">
        <v>5</v>
      </c>
      <c r="X113" s="135">
        <v>5</v>
      </c>
      <c r="Y113" s="135">
        <v>5</v>
      </c>
      <c r="Z113" s="135">
        <v>5</v>
      </c>
      <c r="AA113" s="135">
        <v>5</v>
      </c>
      <c r="AB113" s="135">
        <v>5</v>
      </c>
    </row>
    <row r="114" spans="1:28" s="92" customFormat="1" ht="15.75">
      <c r="A114" s="112"/>
      <c r="B114" s="136" t="s">
        <v>60</v>
      </c>
      <c r="C114" s="135">
        <v>1</v>
      </c>
      <c r="D114" s="135">
        <v>1</v>
      </c>
      <c r="E114" s="135">
        <v>1</v>
      </c>
      <c r="F114" s="135">
        <v>1</v>
      </c>
      <c r="G114" s="135">
        <v>1</v>
      </c>
      <c r="H114" s="135">
        <v>1</v>
      </c>
      <c r="I114" s="135">
        <v>1</v>
      </c>
      <c r="J114" s="135">
        <v>1</v>
      </c>
      <c r="K114" s="135">
        <v>1</v>
      </c>
      <c r="L114" s="135">
        <v>1</v>
      </c>
      <c r="M114" s="135">
        <v>1</v>
      </c>
      <c r="N114" s="135">
        <v>1</v>
      </c>
      <c r="O114" s="135">
        <v>1</v>
      </c>
      <c r="P114" s="135">
        <v>1</v>
      </c>
      <c r="Q114" s="135">
        <v>1</v>
      </c>
      <c r="R114" s="135">
        <v>1</v>
      </c>
      <c r="S114" s="135">
        <v>1</v>
      </c>
      <c r="T114" s="135">
        <v>1</v>
      </c>
      <c r="U114" s="135">
        <v>1</v>
      </c>
      <c r="V114" s="135">
        <v>1</v>
      </c>
      <c r="W114" s="135">
        <v>1</v>
      </c>
      <c r="X114" s="135">
        <v>1</v>
      </c>
      <c r="Y114" s="135">
        <v>1</v>
      </c>
      <c r="Z114" s="135">
        <v>1</v>
      </c>
      <c r="AA114" s="135">
        <v>1</v>
      </c>
      <c r="AB114" s="135">
        <v>1</v>
      </c>
    </row>
    <row r="115" spans="1:28" s="92" customFormat="1" ht="15.75">
      <c r="A115" s="112"/>
      <c r="B115" s="137" t="s">
        <v>66</v>
      </c>
      <c r="C115" s="128">
        <f>25*0.35</f>
        <v>8.75</v>
      </c>
      <c r="D115" s="128">
        <f>25*0.31</f>
        <v>7.75</v>
      </c>
      <c r="E115" s="128">
        <f>25*0.26</f>
        <v>6.5</v>
      </c>
      <c r="F115" s="128">
        <f>25*0.19</f>
        <v>4.75</v>
      </c>
      <c r="G115" s="128">
        <f>25*0.11</f>
        <v>2.75</v>
      </c>
      <c r="H115" s="128">
        <f>25*0.04</f>
        <v>1</v>
      </c>
      <c r="I115" s="128">
        <f>25*0</f>
        <v>0</v>
      </c>
      <c r="J115" s="128">
        <f t="shared" ref="J115:AB115" si="327">25*0</f>
        <v>0</v>
      </c>
      <c r="K115" s="128">
        <f t="shared" si="327"/>
        <v>0</v>
      </c>
      <c r="L115" s="128">
        <f t="shared" si="327"/>
        <v>0</v>
      </c>
      <c r="M115" s="128">
        <f t="shared" si="327"/>
        <v>0</v>
      </c>
      <c r="N115" s="128">
        <f t="shared" si="327"/>
        <v>0</v>
      </c>
      <c r="O115" s="128">
        <f t="shared" si="327"/>
        <v>0</v>
      </c>
      <c r="P115" s="128">
        <f t="shared" si="327"/>
        <v>0</v>
      </c>
      <c r="Q115" s="128">
        <f t="shared" si="327"/>
        <v>0</v>
      </c>
      <c r="R115" s="128">
        <f t="shared" si="327"/>
        <v>0</v>
      </c>
      <c r="S115" s="128">
        <f t="shared" si="327"/>
        <v>0</v>
      </c>
      <c r="T115" s="128">
        <f t="shared" si="327"/>
        <v>0</v>
      </c>
      <c r="U115" s="128">
        <f t="shared" si="327"/>
        <v>0</v>
      </c>
      <c r="V115" s="128">
        <f t="shared" si="327"/>
        <v>0</v>
      </c>
      <c r="W115" s="128">
        <f t="shared" si="327"/>
        <v>0</v>
      </c>
      <c r="X115" s="128">
        <f t="shared" si="327"/>
        <v>0</v>
      </c>
      <c r="Y115" s="128">
        <f t="shared" si="327"/>
        <v>0</v>
      </c>
      <c r="Z115" s="128">
        <f t="shared" si="327"/>
        <v>0</v>
      </c>
      <c r="AA115" s="128">
        <f t="shared" si="327"/>
        <v>0</v>
      </c>
      <c r="AB115" s="128">
        <f t="shared" si="327"/>
        <v>0</v>
      </c>
    </row>
    <row r="116" spans="1:28" s="92" customFormat="1" ht="15.75">
      <c r="A116" s="112"/>
      <c r="B116" s="138" t="s">
        <v>62</v>
      </c>
      <c r="C116" s="131">
        <f>C113+C114+C115</f>
        <v>14.75</v>
      </c>
      <c r="D116" s="131">
        <f t="shared" ref="D116:AB116" si="328">D113+D114+D115</f>
        <v>13.75</v>
      </c>
      <c r="E116" s="131">
        <f t="shared" si="328"/>
        <v>12.5</v>
      </c>
      <c r="F116" s="131">
        <f t="shared" si="328"/>
        <v>10.75</v>
      </c>
      <c r="G116" s="131">
        <f t="shared" si="328"/>
        <v>8.75</v>
      </c>
      <c r="H116" s="131">
        <f t="shared" si="328"/>
        <v>7</v>
      </c>
      <c r="I116" s="131">
        <f t="shared" si="328"/>
        <v>6</v>
      </c>
      <c r="J116" s="131">
        <f t="shared" si="328"/>
        <v>6</v>
      </c>
      <c r="K116" s="131">
        <f t="shared" si="328"/>
        <v>6</v>
      </c>
      <c r="L116" s="131">
        <f t="shared" si="328"/>
        <v>6</v>
      </c>
      <c r="M116" s="131">
        <f t="shared" si="328"/>
        <v>6</v>
      </c>
      <c r="N116" s="131">
        <f t="shared" si="328"/>
        <v>6</v>
      </c>
      <c r="O116" s="131">
        <f t="shared" si="328"/>
        <v>6</v>
      </c>
      <c r="P116" s="131">
        <f t="shared" si="328"/>
        <v>6</v>
      </c>
      <c r="Q116" s="131">
        <f t="shared" si="328"/>
        <v>6</v>
      </c>
      <c r="R116" s="131">
        <f t="shared" si="328"/>
        <v>6</v>
      </c>
      <c r="S116" s="131">
        <f t="shared" si="328"/>
        <v>6</v>
      </c>
      <c r="T116" s="131">
        <f t="shared" si="328"/>
        <v>6</v>
      </c>
      <c r="U116" s="131">
        <f t="shared" si="328"/>
        <v>6</v>
      </c>
      <c r="V116" s="131">
        <f t="shared" si="328"/>
        <v>6</v>
      </c>
      <c r="W116" s="131">
        <f t="shared" si="328"/>
        <v>6</v>
      </c>
      <c r="X116" s="131">
        <f t="shared" si="328"/>
        <v>6</v>
      </c>
      <c r="Y116" s="131">
        <f t="shared" si="328"/>
        <v>6</v>
      </c>
      <c r="Z116" s="131">
        <f t="shared" si="328"/>
        <v>6</v>
      </c>
      <c r="AA116" s="131">
        <f t="shared" si="328"/>
        <v>6</v>
      </c>
      <c r="AB116" s="131">
        <f t="shared" si="328"/>
        <v>6</v>
      </c>
    </row>
    <row r="117" spans="1:28" s="92" customFormat="1" ht="15.75">
      <c r="A117" s="112"/>
      <c r="B117" s="81" t="s">
        <v>138</v>
      </c>
      <c r="C117" s="422">
        <f>C116*$C$3</f>
        <v>15.487500000000001</v>
      </c>
      <c r="D117" s="422">
        <f t="shared" ref="D117:G117" si="329">D116*$C$3</f>
        <v>14.4375</v>
      </c>
      <c r="E117" s="422">
        <f t="shared" si="329"/>
        <v>13.125</v>
      </c>
      <c r="F117" s="422">
        <f t="shared" si="329"/>
        <v>11.2875</v>
      </c>
      <c r="G117" s="422">
        <f t="shared" si="329"/>
        <v>9.1875</v>
      </c>
      <c r="H117" s="423">
        <f>H116*$D$3</f>
        <v>7.1400000000000006</v>
      </c>
      <c r="I117" s="423">
        <f t="shared" ref="I117:AB117" si="330">I116*$D$3</f>
        <v>6.12</v>
      </c>
      <c r="J117" s="423">
        <f t="shared" si="330"/>
        <v>6.12</v>
      </c>
      <c r="K117" s="423">
        <f t="shared" si="330"/>
        <v>6.12</v>
      </c>
      <c r="L117" s="423">
        <f t="shared" si="330"/>
        <v>6.12</v>
      </c>
      <c r="M117" s="423">
        <f t="shared" si="330"/>
        <v>6.12</v>
      </c>
      <c r="N117" s="423">
        <f t="shared" si="330"/>
        <v>6.12</v>
      </c>
      <c r="O117" s="423">
        <f t="shared" si="330"/>
        <v>6.12</v>
      </c>
      <c r="P117" s="423">
        <f t="shared" si="330"/>
        <v>6.12</v>
      </c>
      <c r="Q117" s="423">
        <f t="shared" si="330"/>
        <v>6.12</v>
      </c>
      <c r="R117" s="423">
        <f t="shared" si="330"/>
        <v>6.12</v>
      </c>
      <c r="S117" s="423">
        <f t="shared" si="330"/>
        <v>6.12</v>
      </c>
      <c r="T117" s="423">
        <f t="shared" si="330"/>
        <v>6.12</v>
      </c>
      <c r="U117" s="423">
        <f t="shared" si="330"/>
        <v>6.12</v>
      </c>
      <c r="V117" s="423">
        <f t="shared" si="330"/>
        <v>6.12</v>
      </c>
      <c r="W117" s="423">
        <f t="shared" si="330"/>
        <v>6.12</v>
      </c>
      <c r="X117" s="423">
        <f t="shared" si="330"/>
        <v>6.12</v>
      </c>
      <c r="Y117" s="423">
        <f t="shared" si="330"/>
        <v>6.12</v>
      </c>
      <c r="Z117" s="423">
        <f t="shared" si="330"/>
        <v>6.12</v>
      </c>
      <c r="AA117" s="423">
        <f t="shared" si="330"/>
        <v>6.12</v>
      </c>
      <c r="AB117" s="423">
        <f t="shared" si="330"/>
        <v>6.12</v>
      </c>
    </row>
    <row r="118" spans="1:28" s="92" customFormat="1" ht="16.5" thickBot="1">
      <c r="A118" s="112"/>
      <c r="B118" s="75" t="s">
        <v>139</v>
      </c>
      <c r="C118" s="424">
        <f>C116*$C$4</f>
        <v>17.7</v>
      </c>
      <c r="D118" s="424">
        <f t="shared" ref="D118:G118" si="331">D116*$C$4</f>
        <v>16.5</v>
      </c>
      <c r="E118" s="424">
        <f t="shared" si="331"/>
        <v>15</v>
      </c>
      <c r="F118" s="424">
        <f t="shared" si="331"/>
        <v>12.9</v>
      </c>
      <c r="G118" s="424">
        <f t="shared" si="331"/>
        <v>10.5</v>
      </c>
      <c r="H118" s="425">
        <f>H116*$D$4</f>
        <v>7.3500000000000005</v>
      </c>
      <c r="I118" s="425">
        <f t="shared" ref="I118:AB118" si="332">I116*$D$4</f>
        <v>6.3000000000000007</v>
      </c>
      <c r="J118" s="425">
        <f t="shared" si="332"/>
        <v>6.3000000000000007</v>
      </c>
      <c r="K118" s="425">
        <f t="shared" si="332"/>
        <v>6.3000000000000007</v>
      </c>
      <c r="L118" s="425">
        <f t="shared" si="332"/>
        <v>6.3000000000000007</v>
      </c>
      <c r="M118" s="425">
        <f t="shared" si="332"/>
        <v>6.3000000000000007</v>
      </c>
      <c r="N118" s="425">
        <f t="shared" si="332"/>
        <v>6.3000000000000007</v>
      </c>
      <c r="O118" s="425">
        <f t="shared" si="332"/>
        <v>6.3000000000000007</v>
      </c>
      <c r="P118" s="425">
        <f t="shared" si="332"/>
        <v>6.3000000000000007</v>
      </c>
      <c r="Q118" s="425">
        <f t="shared" si="332"/>
        <v>6.3000000000000007</v>
      </c>
      <c r="R118" s="425">
        <f t="shared" si="332"/>
        <v>6.3000000000000007</v>
      </c>
      <c r="S118" s="425">
        <f t="shared" si="332"/>
        <v>6.3000000000000007</v>
      </c>
      <c r="T118" s="425">
        <f t="shared" si="332"/>
        <v>6.3000000000000007</v>
      </c>
      <c r="U118" s="425">
        <f t="shared" si="332"/>
        <v>6.3000000000000007</v>
      </c>
      <c r="V118" s="425">
        <f t="shared" si="332"/>
        <v>6.3000000000000007</v>
      </c>
      <c r="W118" s="425">
        <f t="shared" si="332"/>
        <v>6.3000000000000007</v>
      </c>
      <c r="X118" s="425">
        <f t="shared" si="332"/>
        <v>6.3000000000000007</v>
      </c>
      <c r="Y118" s="425">
        <f t="shared" si="332"/>
        <v>6.3000000000000007</v>
      </c>
      <c r="Z118" s="425">
        <f t="shared" si="332"/>
        <v>6.3000000000000007</v>
      </c>
      <c r="AA118" s="425">
        <f t="shared" si="332"/>
        <v>6.3000000000000007</v>
      </c>
      <c r="AB118" s="425">
        <f t="shared" si="332"/>
        <v>6.3000000000000007</v>
      </c>
    </row>
    <row r="119" spans="1:28" s="92" customFormat="1" ht="15.75" thickBot="1">
      <c r="A119" s="112"/>
    </row>
    <row r="120" spans="1:28" s="92" customFormat="1" ht="15.75">
      <c r="A120" s="112"/>
      <c r="B120" s="129" t="s">
        <v>204</v>
      </c>
      <c r="C120" s="40"/>
      <c r="D120" s="40"/>
      <c r="E120" s="40"/>
      <c r="F120" s="40"/>
      <c r="G120" s="40"/>
      <c r="H120" s="40"/>
      <c r="I120" s="40"/>
      <c r="J120" s="40"/>
      <c r="K120" s="41"/>
      <c r="L120" s="40"/>
      <c r="M120" s="40"/>
      <c r="N120" s="40"/>
      <c r="O120" s="40"/>
      <c r="P120" s="40"/>
      <c r="Q120" s="40"/>
      <c r="R120" s="40"/>
      <c r="S120" s="40"/>
      <c r="T120" s="40"/>
      <c r="U120" s="40"/>
      <c r="V120" s="40"/>
      <c r="W120" s="40"/>
      <c r="X120" s="40"/>
      <c r="Y120" s="40"/>
      <c r="Z120" s="40"/>
      <c r="AA120" s="40"/>
      <c r="AB120" s="40"/>
    </row>
    <row r="121" spans="1:28" s="92" customFormat="1" ht="15.75">
      <c r="A121" s="112"/>
      <c r="B121" s="125" t="s">
        <v>58</v>
      </c>
      <c r="C121" s="126">
        <v>0</v>
      </c>
      <c r="D121" s="126">
        <v>1</v>
      </c>
      <c r="E121" s="126">
        <f>D121+1</f>
        <v>2</v>
      </c>
      <c r="F121" s="127">
        <f>E121+1</f>
        <v>3</v>
      </c>
      <c r="G121" s="126">
        <f>F121+1</f>
        <v>4</v>
      </c>
      <c r="H121" s="130">
        <f>G121+1</f>
        <v>5</v>
      </c>
      <c r="I121" s="127">
        <v>6</v>
      </c>
      <c r="J121" s="126">
        <v>7</v>
      </c>
      <c r="K121" s="130">
        <v>8</v>
      </c>
      <c r="L121" s="126">
        <v>9</v>
      </c>
      <c r="M121" s="130">
        <v>10</v>
      </c>
      <c r="N121" s="126">
        <v>11</v>
      </c>
      <c r="O121" s="130">
        <v>12</v>
      </c>
      <c r="P121" s="126">
        <v>13</v>
      </c>
      <c r="Q121" s="130">
        <v>14</v>
      </c>
      <c r="R121" s="126">
        <v>15</v>
      </c>
      <c r="S121" s="130">
        <v>16</v>
      </c>
      <c r="T121" s="126">
        <v>17</v>
      </c>
      <c r="U121" s="126">
        <v>18</v>
      </c>
      <c r="V121" s="126">
        <v>19</v>
      </c>
      <c r="W121" s="126">
        <v>20</v>
      </c>
      <c r="X121" s="126">
        <v>21</v>
      </c>
      <c r="Y121" s="126">
        <v>22</v>
      </c>
      <c r="Z121" s="126">
        <v>23</v>
      </c>
      <c r="AA121" s="126">
        <v>24</v>
      </c>
      <c r="AB121" s="126">
        <v>25</v>
      </c>
    </row>
    <row r="122" spans="1:28" s="92" customFormat="1" ht="15.75">
      <c r="A122" s="112"/>
      <c r="B122" s="136" t="s">
        <v>59</v>
      </c>
      <c r="C122" s="128">
        <v>8</v>
      </c>
      <c r="D122" s="128">
        <v>8</v>
      </c>
      <c r="E122" s="128">
        <v>8</v>
      </c>
      <c r="F122" s="128">
        <v>8</v>
      </c>
      <c r="G122" s="128">
        <v>8</v>
      </c>
      <c r="H122" s="128">
        <v>8</v>
      </c>
      <c r="I122" s="128">
        <v>8</v>
      </c>
      <c r="J122" s="128">
        <v>8</v>
      </c>
      <c r="K122" s="128">
        <v>8</v>
      </c>
      <c r="L122" s="128">
        <v>8</v>
      </c>
      <c r="M122" s="128">
        <v>8</v>
      </c>
      <c r="N122" s="128">
        <v>8</v>
      </c>
      <c r="O122" s="128">
        <v>8</v>
      </c>
      <c r="P122" s="128">
        <v>8</v>
      </c>
      <c r="Q122" s="128">
        <v>8</v>
      </c>
      <c r="R122" s="128">
        <v>8</v>
      </c>
      <c r="S122" s="128">
        <v>8</v>
      </c>
      <c r="T122" s="128">
        <v>8</v>
      </c>
      <c r="U122" s="128">
        <v>8</v>
      </c>
      <c r="V122" s="128">
        <v>8</v>
      </c>
      <c r="W122" s="128">
        <v>8</v>
      </c>
      <c r="X122" s="128">
        <v>8</v>
      </c>
      <c r="Y122" s="128">
        <v>8</v>
      </c>
      <c r="Z122" s="128">
        <v>8</v>
      </c>
      <c r="AA122" s="128">
        <v>8</v>
      </c>
      <c r="AB122" s="128">
        <v>8</v>
      </c>
    </row>
    <row r="123" spans="1:28" s="92" customFormat="1" ht="15.75">
      <c r="A123" s="112"/>
      <c r="B123" s="136" t="s">
        <v>60</v>
      </c>
      <c r="C123" s="128">
        <v>2</v>
      </c>
      <c r="D123" s="128">
        <v>2</v>
      </c>
      <c r="E123" s="128">
        <v>2</v>
      </c>
      <c r="F123" s="128">
        <v>2</v>
      </c>
      <c r="G123" s="128">
        <v>2</v>
      </c>
      <c r="H123" s="128">
        <v>2</v>
      </c>
      <c r="I123" s="128">
        <v>2</v>
      </c>
      <c r="J123" s="128">
        <v>2</v>
      </c>
      <c r="K123" s="128">
        <v>2</v>
      </c>
      <c r="L123" s="128">
        <v>2</v>
      </c>
      <c r="M123" s="128">
        <v>2</v>
      </c>
      <c r="N123" s="128">
        <v>2</v>
      </c>
      <c r="O123" s="128">
        <v>2</v>
      </c>
      <c r="P123" s="128">
        <v>2</v>
      </c>
      <c r="Q123" s="128">
        <v>2</v>
      </c>
      <c r="R123" s="128">
        <v>2</v>
      </c>
      <c r="S123" s="128">
        <v>2</v>
      </c>
      <c r="T123" s="128">
        <v>2</v>
      </c>
      <c r="U123" s="128">
        <v>2</v>
      </c>
      <c r="V123" s="128">
        <v>2</v>
      </c>
      <c r="W123" s="128">
        <v>2</v>
      </c>
      <c r="X123" s="128">
        <v>2</v>
      </c>
      <c r="Y123" s="128">
        <v>2</v>
      </c>
      <c r="Z123" s="128">
        <v>2</v>
      </c>
      <c r="AA123" s="128">
        <v>2</v>
      </c>
      <c r="AB123" s="128">
        <v>2</v>
      </c>
    </row>
    <row r="124" spans="1:28" s="92" customFormat="1" ht="15.75">
      <c r="A124" s="112"/>
      <c r="B124" s="137" t="s">
        <v>66</v>
      </c>
      <c r="C124" s="128">
        <f>30*0.35</f>
        <v>10.5</v>
      </c>
      <c r="D124" s="128">
        <f>30*0.31</f>
        <v>9.3000000000000007</v>
      </c>
      <c r="E124" s="128">
        <f>30*0.26</f>
        <v>7.8000000000000007</v>
      </c>
      <c r="F124" s="128">
        <f>30*0.19</f>
        <v>5.7</v>
      </c>
      <c r="G124" s="128">
        <f>30*0.11</f>
        <v>3.3</v>
      </c>
      <c r="H124" s="128">
        <f>30*0.04</f>
        <v>1.2</v>
      </c>
      <c r="I124" s="128">
        <f t="shared" ref="I124:AA124" si="333">30*0</f>
        <v>0</v>
      </c>
      <c r="J124" s="128">
        <f t="shared" si="333"/>
        <v>0</v>
      </c>
      <c r="K124" s="128">
        <f t="shared" si="333"/>
        <v>0</v>
      </c>
      <c r="L124" s="128">
        <f t="shared" si="333"/>
        <v>0</v>
      </c>
      <c r="M124" s="128">
        <f t="shared" si="333"/>
        <v>0</v>
      </c>
      <c r="N124" s="128">
        <f t="shared" si="333"/>
        <v>0</v>
      </c>
      <c r="O124" s="128">
        <f t="shared" si="333"/>
        <v>0</v>
      </c>
      <c r="P124" s="128">
        <f t="shared" si="333"/>
        <v>0</v>
      </c>
      <c r="Q124" s="128">
        <f t="shared" si="333"/>
        <v>0</v>
      </c>
      <c r="R124" s="128">
        <f t="shared" si="333"/>
        <v>0</v>
      </c>
      <c r="S124" s="128">
        <f t="shared" si="333"/>
        <v>0</v>
      </c>
      <c r="T124" s="128">
        <f t="shared" si="333"/>
        <v>0</v>
      </c>
      <c r="U124" s="128">
        <f t="shared" si="333"/>
        <v>0</v>
      </c>
      <c r="V124" s="128">
        <f t="shared" si="333"/>
        <v>0</v>
      </c>
      <c r="W124" s="128">
        <f t="shared" si="333"/>
        <v>0</v>
      </c>
      <c r="X124" s="128">
        <f t="shared" si="333"/>
        <v>0</v>
      </c>
      <c r="Y124" s="128">
        <f t="shared" si="333"/>
        <v>0</v>
      </c>
      <c r="Z124" s="128">
        <f t="shared" si="333"/>
        <v>0</v>
      </c>
      <c r="AA124" s="128">
        <f t="shared" si="333"/>
        <v>0</v>
      </c>
      <c r="AB124" s="128">
        <f>30*0</f>
        <v>0</v>
      </c>
    </row>
    <row r="125" spans="1:28" s="92" customFormat="1" ht="15.75">
      <c r="A125" s="112"/>
      <c r="B125" s="364" t="s">
        <v>62</v>
      </c>
      <c r="C125" s="134">
        <f t="shared" ref="C125:AB125" si="334">C122+C123+C124</f>
        <v>20.5</v>
      </c>
      <c r="D125" s="134">
        <f t="shared" si="334"/>
        <v>19.3</v>
      </c>
      <c r="E125" s="134">
        <f t="shared" si="334"/>
        <v>17.8</v>
      </c>
      <c r="F125" s="134">
        <f t="shared" si="334"/>
        <v>15.7</v>
      </c>
      <c r="G125" s="139">
        <f t="shared" si="334"/>
        <v>13.3</v>
      </c>
      <c r="H125" s="139">
        <f t="shared" si="334"/>
        <v>11.2</v>
      </c>
      <c r="I125" s="139">
        <f t="shared" si="334"/>
        <v>10</v>
      </c>
      <c r="J125" s="139">
        <f t="shared" si="334"/>
        <v>10</v>
      </c>
      <c r="K125" s="139">
        <f t="shared" si="334"/>
        <v>10</v>
      </c>
      <c r="L125" s="139">
        <f t="shared" si="334"/>
        <v>10</v>
      </c>
      <c r="M125" s="139">
        <f t="shared" si="334"/>
        <v>10</v>
      </c>
      <c r="N125" s="139">
        <f t="shared" si="334"/>
        <v>10</v>
      </c>
      <c r="O125" s="139">
        <f t="shared" si="334"/>
        <v>10</v>
      </c>
      <c r="P125" s="139">
        <f t="shared" si="334"/>
        <v>10</v>
      </c>
      <c r="Q125" s="139">
        <f t="shared" si="334"/>
        <v>10</v>
      </c>
      <c r="R125" s="139">
        <f t="shared" si="334"/>
        <v>10</v>
      </c>
      <c r="S125" s="139">
        <f t="shared" si="334"/>
        <v>10</v>
      </c>
      <c r="T125" s="139">
        <f t="shared" si="334"/>
        <v>10</v>
      </c>
      <c r="U125" s="139">
        <f t="shared" si="334"/>
        <v>10</v>
      </c>
      <c r="V125" s="139">
        <f t="shared" si="334"/>
        <v>10</v>
      </c>
      <c r="W125" s="139">
        <f t="shared" si="334"/>
        <v>10</v>
      </c>
      <c r="X125" s="139">
        <f t="shared" si="334"/>
        <v>10</v>
      </c>
      <c r="Y125" s="139">
        <f t="shared" si="334"/>
        <v>10</v>
      </c>
      <c r="Z125" s="139">
        <f t="shared" si="334"/>
        <v>10</v>
      </c>
      <c r="AA125" s="139">
        <f t="shared" si="334"/>
        <v>10</v>
      </c>
      <c r="AB125" s="139">
        <f t="shared" si="334"/>
        <v>10</v>
      </c>
    </row>
    <row r="126" spans="1:28" s="92" customFormat="1" ht="15.75">
      <c r="A126" s="112"/>
      <c r="B126" s="81" t="s">
        <v>138</v>
      </c>
      <c r="C126" s="422">
        <f>C125*$C$3</f>
        <v>21.525000000000002</v>
      </c>
      <c r="D126" s="422">
        <f t="shared" ref="D126:G126" si="335">D125*$C$3</f>
        <v>20.265000000000001</v>
      </c>
      <c r="E126" s="422">
        <f t="shared" si="335"/>
        <v>18.690000000000001</v>
      </c>
      <c r="F126" s="422">
        <f t="shared" si="335"/>
        <v>16.484999999999999</v>
      </c>
      <c r="G126" s="422">
        <f t="shared" si="335"/>
        <v>13.965000000000002</v>
      </c>
      <c r="H126" s="423">
        <f>H125*$D$3</f>
        <v>11.423999999999999</v>
      </c>
      <c r="I126" s="423">
        <f t="shared" ref="I126:AB126" si="336">I125*$D$3</f>
        <v>10.199999999999999</v>
      </c>
      <c r="J126" s="423">
        <f t="shared" si="336"/>
        <v>10.199999999999999</v>
      </c>
      <c r="K126" s="423">
        <f t="shared" si="336"/>
        <v>10.199999999999999</v>
      </c>
      <c r="L126" s="423">
        <f t="shared" si="336"/>
        <v>10.199999999999999</v>
      </c>
      <c r="M126" s="423">
        <f t="shared" si="336"/>
        <v>10.199999999999999</v>
      </c>
      <c r="N126" s="423">
        <f t="shared" si="336"/>
        <v>10.199999999999999</v>
      </c>
      <c r="O126" s="423">
        <f t="shared" si="336"/>
        <v>10.199999999999999</v>
      </c>
      <c r="P126" s="423">
        <f t="shared" si="336"/>
        <v>10.199999999999999</v>
      </c>
      <c r="Q126" s="423">
        <f t="shared" si="336"/>
        <v>10.199999999999999</v>
      </c>
      <c r="R126" s="423">
        <f t="shared" si="336"/>
        <v>10.199999999999999</v>
      </c>
      <c r="S126" s="423">
        <f t="shared" si="336"/>
        <v>10.199999999999999</v>
      </c>
      <c r="T126" s="423">
        <f t="shared" si="336"/>
        <v>10.199999999999999</v>
      </c>
      <c r="U126" s="423">
        <f t="shared" si="336"/>
        <v>10.199999999999999</v>
      </c>
      <c r="V126" s="423">
        <f t="shared" si="336"/>
        <v>10.199999999999999</v>
      </c>
      <c r="W126" s="423">
        <f t="shared" si="336"/>
        <v>10.199999999999999</v>
      </c>
      <c r="X126" s="423">
        <f t="shared" si="336"/>
        <v>10.199999999999999</v>
      </c>
      <c r="Y126" s="423">
        <f t="shared" si="336"/>
        <v>10.199999999999999</v>
      </c>
      <c r="Z126" s="423">
        <f t="shared" si="336"/>
        <v>10.199999999999999</v>
      </c>
      <c r="AA126" s="423">
        <f t="shared" si="336"/>
        <v>10.199999999999999</v>
      </c>
      <c r="AB126" s="423">
        <f t="shared" si="336"/>
        <v>10.199999999999999</v>
      </c>
    </row>
    <row r="127" spans="1:28" s="92" customFormat="1" ht="16.5" thickBot="1">
      <c r="A127" s="112"/>
      <c r="B127" s="75" t="s">
        <v>139</v>
      </c>
      <c r="C127" s="424">
        <f>C125*$C$4</f>
        <v>24.599999999999998</v>
      </c>
      <c r="D127" s="424">
        <f t="shared" ref="D127:G127" si="337">D125*$C$4</f>
        <v>23.16</v>
      </c>
      <c r="E127" s="424">
        <f t="shared" si="337"/>
        <v>21.36</v>
      </c>
      <c r="F127" s="424">
        <f t="shared" si="337"/>
        <v>18.84</v>
      </c>
      <c r="G127" s="424">
        <f t="shared" si="337"/>
        <v>15.96</v>
      </c>
      <c r="H127" s="425">
        <f>H125*$D$4</f>
        <v>11.76</v>
      </c>
      <c r="I127" s="425">
        <f t="shared" ref="I127:AB127" si="338">I125*$D$4</f>
        <v>10.5</v>
      </c>
      <c r="J127" s="425">
        <f t="shared" si="338"/>
        <v>10.5</v>
      </c>
      <c r="K127" s="425">
        <f t="shared" si="338"/>
        <v>10.5</v>
      </c>
      <c r="L127" s="425">
        <f t="shared" si="338"/>
        <v>10.5</v>
      </c>
      <c r="M127" s="425">
        <f t="shared" si="338"/>
        <v>10.5</v>
      </c>
      <c r="N127" s="425">
        <f t="shared" si="338"/>
        <v>10.5</v>
      </c>
      <c r="O127" s="425">
        <f t="shared" si="338"/>
        <v>10.5</v>
      </c>
      <c r="P127" s="425">
        <f t="shared" si="338"/>
        <v>10.5</v>
      </c>
      <c r="Q127" s="425">
        <f t="shared" si="338"/>
        <v>10.5</v>
      </c>
      <c r="R127" s="425">
        <f t="shared" si="338"/>
        <v>10.5</v>
      </c>
      <c r="S127" s="425">
        <f t="shared" si="338"/>
        <v>10.5</v>
      </c>
      <c r="T127" s="425">
        <f t="shared" si="338"/>
        <v>10.5</v>
      </c>
      <c r="U127" s="425">
        <f t="shared" si="338"/>
        <v>10.5</v>
      </c>
      <c r="V127" s="425">
        <f t="shared" si="338"/>
        <v>10.5</v>
      </c>
      <c r="W127" s="425">
        <f t="shared" si="338"/>
        <v>10.5</v>
      </c>
      <c r="X127" s="425">
        <f t="shared" si="338"/>
        <v>10.5</v>
      </c>
      <c r="Y127" s="425">
        <f t="shared" si="338"/>
        <v>10.5</v>
      </c>
      <c r="Z127" s="425">
        <f t="shared" si="338"/>
        <v>10.5</v>
      </c>
      <c r="AA127" s="425">
        <f t="shared" si="338"/>
        <v>10.5</v>
      </c>
      <c r="AB127" s="425">
        <f t="shared" si="338"/>
        <v>10.5</v>
      </c>
    </row>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BO205"/>
  <sheetViews>
    <sheetView workbookViewId="0">
      <selection activeCell="G41" sqref="G41"/>
    </sheetView>
  </sheetViews>
  <sheetFormatPr defaultRowHeight="15"/>
  <cols>
    <col min="1" max="1" width="9.140625" style="27"/>
    <col min="2" max="2" width="19" customWidth="1"/>
    <col min="3" max="3" width="10.140625" bestFit="1" customWidth="1"/>
    <col min="4" max="4" width="12.42578125" customWidth="1"/>
    <col min="5" max="5" width="11.140625" customWidth="1"/>
    <col min="6" max="6" width="11.7109375" customWidth="1"/>
    <col min="7" max="7" width="13.42578125" customWidth="1"/>
    <col min="8" max="8" width="12.28515625" customWidth="1"/>
    <col min="9" max="9" width="11" customWidth="1"/>
    <col min="10" max="10" width="10.7109375" customWidth="1"/>
    <col min="11" max="11" width="11.5703125" customWidth="1"/>
    <col min="12" max="12" width="10.7109375" customWidth="1"/>
    <col min="13" max="13" width="11.42578125" customWidth="1"/>
    <col min="14" max="14" width="11.7109375" customWidth="1"/>
    <col min="15" max="15" width="11.28515625" customWidth="1"/>
    <col min="16" max="16" width="12.7109375" customWidth="1"/>
    <col min="17" max="17" width="12.42578125" customWidth="1"/>
    <col min="18" max="18" width="14.140625" customWidth="1"/>
    <col min="19" max="67" width="9.140625" style="27"/>
    <col min="258" max="258" width="19" customWidth="1"/>
    <col min="273" max="274" width="9.140625" customWidth="1"/>
    <col min="514" max="514" width="19" customWidth="1"/>
    <col min="529" max="530" width="9.140625" customWidth="1"/>
    <col min="770" max="770" width="19" customWidth="1"/>
    <col min="785" max="786" width="9.140625" customWidth="1"/>
    <col min="1026" max="1026" width="19" customWidth="1"/>
    <col min="1041" max="1042" width="9.140625" customWidth="1"/>
    <col min="1282" max="1282" width="19" customWidth="1"/>
    <col min="1297" max="1298" width="9.140625" customWidth="1"/>
    <col min="1538" max="1538" width="19" customWidth="1"/>
    <col min="1553" max="1554" width="9.140625" customWidth="1"/>
    <col min="1794" max="1794" width="19" customWidth="1"/>
    <col min="1809" max="1810" width="9.140625" customWidth="1"/>
    <col min="2050" max="2050" width="19" customWidth="1"/>
    <col min="2065" max="2066" width="9.140625" customWidth="1"/>
    <col min="2306" max="2306" width="19" customWidth="1"/>
    <col min="2321" max="2322" width="9.140625" customWidth="1"/>
    <col min="2562" max="2562" width="19" customWidth="1"/>
    <col min="2577" max="2578" width="9.140625" customWidth="1"/>
    <col min="2818" max="2818" width="19" customWidth="1"/>
    <col min="2833" max="2834" width="9.140625" customWidth="1"/>
    <col min="3074" max="3074" width="19" customWidth="1"/>
    <col min="3089" max="3090" width="9.140625" customWidth="1"/>
    <col min="3330" max="3330" width="19" customWidth="1"/>
    <col min="3345" max="3346" width="9.140625" customWidth="1"/>
    <col min="3586" max="3586" width="19" customWidth="1"/>
    <col min="3601" max="3602" width="9.140625" customWidth="1"/>
    <col min="3842" max="3842" width="19" customWidth="1"/>
    <col min="3857" max="3858" width="9.140625" customWidth="1"/>
    <col min="4098" max="4098" width="19" customWidth="1"/>
    <col min="4113" max="4114" width="9.140625" customWidth="1"/>
    <col min="4354" max="4354" width="19" customWidth="1"/>
    <col min="4369" max="4370" width="9.140625" customWidth="1"/>
    <col min="4610" max="4610" width="19" customWidth="1"/>
    <col min="4625" max="4626" width="9.140625" customWidth="1"/>
    <col min="4866" max="4866" width="19" customWidth="1"/>
    <col min="4881" max="4882" width="9.140625" customWidth="1"/>
    <col min="5122" max="5122" width="19" customWidth="1"/>
    <col min="5137" max="5138" width="9.140625" customWidth="1"/>
    <col min="5378" max="5378" width="19" customWidth="1"/>
    <col min="5393" max="5394" width="9.140625" customWidth="1"/>
    <col min="5634" max="5634" width="19" customWidth="1"/>
    <col min="5649" max="5650" width="9.140625" customWidth="1"/>
    <col min="5890" max="5890" width="19" customWidth="1"/>
    <col min="5905" max="5906" width="9.140625" customWidth="1"/>
    <col min="6146" max="6146" width="19" customWidth="1"/>
    <col min="6161" max="6162" width="9.140625" customWidth="1"/>
    <col min="6402" max="6402" width="19" customWidth="1"/>
    <col min="6417" max="6418" width="9.140625" customWidth="1"/>
    <col min="6658" max="6658" width="19" customWidth="1"/>
    <col min="6673" max="6674" width="9.140625" customWidth="1"/>
    <col min="6914" max="6914" width="19" customWidth="1"/>
    <col min="6929" max="6930" width="9.140625" customWidth="1"/>
    <col min="7170" max="7170" width="19" customWidth="1"/>
    <col min="7185" max="7186" width="9.140625" customWidth="1"/>
    <col min="7426" max="7426" width="19" customWidth="1"/>
    <col min="7441" max="7442" width="9.140625" customWidth="1"/>
    <col min="7682" max="7682" width="19" customWidth="1"/>
    <col min="7697" max="7698" width="9.140625" customWidth="1"/>
    <col min="7938" max="7938" width="19" customWidth="1"/>
    <col min="7953" max="7954" width="9.140625" customWidth="1"/>
    <col min="8194" max="8194" width="19" customWidth="1"/>
    <col min="8209" max="8210" width="9.140625" customWidth="1"/>
    <col min="8450" max="8450" width="19" customWidth="1"/>
    <col min="8465" max="8466" width="9.140625" customWidth="1"/>
    <col min="8706" max="8706" width="19" customWidth="1"/>
    <col min="8721" max="8722" width="9.140625" customWidth="1"/>
    <col min="8962" max="8962" width="19" customWidth="1"/>
    <col min="8977" max="8978" width="9.140625" customWidth="1"/>
    <col min="9218" max="9218" width="19" customWidth="1"/>
    <col min="9233" max="9234" width="9.140625" customWidth="1"/>
    <col min="9474" max="9474" width="19" customWidth="1"/>
    <col min="9489" max="9490" width="9.140625" customWidth="1"/>
    <col min="9730" max="9730" width="19" customWidth="1"/>
    <col min="9745" max="9746" width="9.140625" customWidth="1"/>
    <col min="9986" max="9986" width="19" customWidth="1"/>
    <col min="10001" max="10002" width="9.140625" customWidth="1"/>
    <col min="10242" max="10242" width="19" customWidth="1"/>
    <col min="10257" max="10258" width="9.140625" customWidth="1"/>
    <col min="10498" max="10498" width="19" customWidth="1"/>
    <col min="10513" max="10514" width="9.140625" customWidth="1"/>
    <col min="10754" max="10754" width="19" customWidth="1"/>
    <col min="10769" max="10770" width="9.140625" customWidth="1"/>
    <col min="11010" max="11010" width="19" customWidth="1"/>
    <col min="11025" max="11026" width="9.140625" customWidth="1"/>
    <col min="11266" max="11266" width="19" customWidth="1"/>
    <col min="11281" max="11282" width="9.140625" customWidth="1"/>
    <col min="11522" max="11522" width="19" customWidth="1"/>
    <col min="11537" max="11538" width="9.140625" customWidth="1"/>
    <col min="11778" max="11778" width="19" customWidth="1"/>
    <col min="11793" max="11794" width="9.140625" customWidth="1"/>
    <col min="12034" max="12034" width="19" customWidth="1"/>
    <col min="12049" max="12050" width="9.140625" customWidth="1"/>
    <col min="12290" max="12290" width="19" customWidth="1"/>
    <col min="12305" max="12306" width="9.140625" customWidth="1"/>
    <col min="12546" max="12546" width="19" customWidth="1"/>
    <col min="12561" max="12562" width="9.140625" customWidth="1"/>
    <col min="12802" max="12802" width="19" customWidth="1"/>
    <col min="12817" max="12818" width="9.140625" customWidth="1"/>
    <col min="13058" max="13058" width="19" customWidth="1"/>
    <col min="13073" max="13074" width="9.140625" customWidth="1"/>
    <col min="13314" max="13314" width="19" customWidth="1"/>
    <col min="13329" max="13330" width="9.140625" customWidth="1"/>
    <col min="13570" max="13570" width="19" customWidth="1"/>
    <col min="13585" max="13586" width="9.140625" customWidth="1"/>
    <col min="13826" max="13826" width="19" customWidth="1"/>
    <col min="13841" max="13842" width="9.140625" customWidth="1"/>
    <col min="14082" max="14082" width="19" customWidth="1"/>
    <col min="14097" max="14098" width="9.140625" customWidth="1"/>
    <col min="14338" max="14338" width="19" customWidth="1"/>
    <col min="14353" max="14354" width="9.140625" customWidth="1"/>
    <col min="14594" max="14594" width="19" customWidth="1"/>
    <col min="14609" max="14610" width="9.140625" customWidth="1"/>
    <col min="14850" max="14850" width="19" customWidth="1"/>
    <col min="14865" max="14866" width="9.140625" customWidth="1"/>
    <col min="15106" max="15106" width="19" customWidth="1"/>
    <col min="15121" max="15122" width="9.140625" customWidth="1"/>
    <col min="15362" max="15362" width="19" customWidth="1"/>
    <col min="15377" max="15378" width="9.140625" customWidth="1"/>
    <col min="15618" max="15618" width="19" customWidth="1"/>
    <col min="15633" max="15634" width="9.140625" customWidth="1"/>
    <col min="15874" max="15874" width="19" customWidth="1"/>
    <col min="15889" max="15890" width="9.140625" customWidth="1"/>
    <col min="16130" max="16130" width="19" customWidth="1"/>
    <col min="16145" max="16146" width="9.140625" customWidth="1"/>
  </cols>
  <sheetData>
    <row r="1" spans="1:67" s="27" customFormat="1" ht="24" thickBot="1">
      <c r="A1" s="714"/>
    </row>
    <row r="2" spans="1:67" s="91" customFormat="1" ht="18.75" thickBot="1">
      <c r="A2" s="715"/>
      <c r="B2" s="297" t="s">
        <v>73</v>
      </c>
      <c r="C2" s="298"/>
      <c r="D2" s="298"/>
      <c r="E2" s="298"/>
      <c r="F2" s="298"/>
      <c r="G2" s="298"/>
      <c r="H2" s="298"/>
      <c r="I2" s="298"/>
      <c r="J2" s="298"/>
      <c r="K2" s="298"/>
      <c r="L2" s="298"/>
      <c r="M2" s="298"/>
      <c r="N2" s="298"/>
      <c r="O2" s="298"/>
      <c r="P2" s="298"/>
      <c r="Q2" s="298"/>
      <c r="R2" s="299"/>
      <c r="S2" s="715"/>
      <c r="T2" s="715"/>
      <c r="U2" s="715"/>
      <c r="V2" s="715"/>
      <c r="W2" s="715"/>
      <c r="X2" s="715"/>
      <c r="Y2" s="715"/>
      <c r="Z2" s="715"/>
      <c r="AA2" s="715"/>
      <c r="AB2" s="715"/>
      <c r="AC2" s="715"/>
      <c r="AD2" s="715"/>
      <c r="AE2" s="715"/>
      <c r="AF2" s="715"/>
      <c r="AG2" s="715"/>
      <c r="AH2" s="715"/>
      <c r="AI2" s="715"/>
      <c r="AJ2" s="715"/>
      <c r="AK2" s="715"/>
      <c r="AL2" s="715"/>
      <c r="AM2" s="715"/>
      <c r="AN2" s="715"/>
      <c r="AO2" s="715"/>
      <c r="AP2" s="715"/>
      <c r="AQ2" s="715"/>
      <c r="AR2" s="715"/>
      <c r="AS2" s="715"/>
      <c r="AT2" s="715"/>
      <c r="AU2" s="715"/>
      <c r="AV2" s="715"/>
      <c r="AW2" s="715"/>
      <c r="AX2" s="715"/>
      <c r="AY2" s="715"/>
      <c r="AZ2" s="715"/>
      <c r="BA2" s="715"/>
      <c r="BB2" s="715"/>
      <c r="BC2" s="715"/>
      <c r="BD2" s="715"/>
      <c r="BE2" s="715"/>
      <c r="BF2" s="715"/>
      <c r="BG2" s="715"/>
      <c r="BH2" s="715"/>
      <c r="BI2" s="715"/>
      <c r="BJ2" s="715"/>
      <c r="BK2" s="715"/>
      <c r="BL2" s="715"/>
      <c r="BM2" s="715"/>
      <c r="BN2" s="715"/>
      <c r="BO2" s="715"/>
    </row>
    <row r="3" spans="1:67" s="27" customFormat="1" ht="15.75" thickBot="1"/>
    <row r="4" spans="1:67" ht="16.5" thickBot="1">
      <c r="B4" s="322"/>
      <c r="C4" s="323">
        <v>2015</v>
      </c>
      <c r="D4" s="324">
        <v>2016</v>
      </c>
      <c r="E4" s="324">
        <v>2017</v>
      </c>
      <c r="F4" s="324">
        <v>2018</v>
      </c>
      <c r="G4" s="324">
        <v>2019</v>
      </c>
      <c r="H4" s="324">
        <v>2020</v>
      </c>
      <c r="I4" s="324">
        <v>2021</v>
      </c>
      <c r="J4" s="324">
        <v>2022</v>
      </c>
      <c r="K4" s="324">
        <v>2023</v>
      </c>
      <c r="L4" s="324">
        <v>2024</v>
      </c>
      <c r="M4" s="324">
        <v>2025</v>
      </c>
      <c r="N4" s="324">
        <v>2026</v>
      </c>
      <c r="O4" s="324">
        <v>2027</v>
      </c>
      <c r="P4" s="324">
        <v>2028</v>
      </c>
      <c r="Q4" s="324">
        <v>2029</v>
      </c>
      <c r="R4" s="325">
        <v>2030</v>
      </c>
    </row>
    <row r="5" spans="1:67" ht="15.75">
      <c r="B5" s="326" t="s">
        <v>27</v>
      </c>
      <c r="C5" s="332">
        <v>204441.21861445956</v>
      </c>
      <c r="D5" s="333">
        <v>185795.06632356186</v>
      </c>
      <c r="E5" s="333">
        <v>188312.93157649614</v>
      </c>
      <c r="F5" s="333">
        <v>195536.9582252749</v>
      </c>
      <c r="G5" s="333">
        <v>221292.44484687093</v>
      </c>
      <c r="H5" s="333">
        <v>258194.41926934256</v>
      </c>
      <c r="I5" s="333">
        <v>149736.84620523025</v>
      </c>
      <c r="J5" s="333">
        <v>149360.45189337936</v>
      </c>
      <c r="K5" s="333">
        <v>149232.4878755089</v>
      </c>
      <c r="L5" s="333">
        <v>146720.14684362526</v>
      </c>
      <c r="M5" s="333">
        <v>147345.10416334984</v>
      </c>
      <c r="N5" s="333">
        <v>151980.11496904961</v>
      </c>
      <c r="O5" s="333">
        <v>149761.77656753862</v>
      </c>
      <c r="P5" s="333">
        <v>147304.47094899497</v>
      </c>
      <c r="Q5" s="333">
        <v>146314.79165933354</v>
      </c>
      <c r="R5" s="334">
        <v>146959.86528035632</v>
      </c>
    </row>
    <row r="6" spans="1:67" ht="15.75">
      <c r="B6" s="327" t="s">
        <v>1</v>
      </c>
      <c r="C6" s="335">
        <v>287637.76009750157</v>
      </c>
      <c r="D6" s="336">
        <v>274807.47371332778</v>
      </c>
      <c r="E6" s="336">
        <v>286113.95724169689</v>
      </c>
      <c r="F6" s="336">
        <v>305592.71502126427</v>
      </c>
      <c r="G6" s="336">
        <v>333332.82299925119</v>
      </c>
      <c r="H6" s="336">
        <v>343101.92866681039</v>
      </c>
      <c r="I6" s="336">
        <v>254930.23809283099</v>
      </c>
      <c r="J6" s="336">
        <v>252059.2507984426</v>
      </c>
      <c r="K6" s="336">
        <v>250556.4273129233</v>
      </c>
      <c r="L6" s="336">
        <v>249009.12158087708</v>
      </c>
      <c r="M6" s="336">
        <v>246175.7534960428</v>
      </c>
      <c r="N6" s="336">
        <v>229837.72885835895</v>
      </c>
      <c r="O6" s="336">
        <v>228568.10342990202</v>
      </c>
      <c r="P6" s="336">
        <v>219525.53588628364</v>
      </c>
      <c r="Q6" s="336">
        <v>216917.46254895092</v>
      </c>
      <c r="R6" s="337">
        <v>212056.25440596268</v>
      </c>
    </row>
    <row r="7" spans="1:67" ht="15.75">
      <c r="B7" s="327" t="s">
        <v>2</v>
      </c>
      <c r="C7" s="335">
        <v>62394.928890154857</v>
      </c>
      <c r="D7" s="336">
        <v>51943.064283340114</v>
      </c>
      <c r="E7" s="336">
        <v>53124.668396973459</v>
      </c>
      <c r="F7" s="336">
        <v>54006.213220199104</v>
      </c>
      <c r="G7" s="336">
        <v>55102.559313498496</v>
      </c>
      <c r="H7" s="336">
        <v>55047.931506348898</v>
      </c>
      <c r="I7" s="336">
        <v>52056.988880928133</v>
      </c>
      <c r="J7" s="336">
        <v>51960.976952837023</v>
      </c>
      <c r="K7" s="336">
        <v>52343.020573441267</v>
      </c>
      <c r="L7" s="336">
        <v>53156.094145669704</v>
      </c>
      <c r="M7" s="336">
        <v>53127.110220676666</v>
      </c>
      <c r="N7" s="336">
        <v>40203.813907870091</v>
      </c>
      <c r="O7" s="336">
        <v>38860.064143771211</v>
      </c>
      <c r="P7" s="336">
        <v>38035.812477145264</v>
      </c>
      <c r="Q7" s="336">
        <v>36641.089871696873</v>
      </c>
      <c r="R7" s="337">
        <v>36078.855886388199</v>
      </c>
    </row>
    <row r="8" spans="1:67" ht="15.75">
      <c r="B8" s="327" t="s">
        <v>3</v>
      </c>
      <c r="C8" s="335">
        <v>21751.326206843809</v>
      </c>
      <c r="D8" s="336">
        <v>23144.92743380598</v>
      </c>
      <c r="E8" s="336">
        <v>24401.307209492817</v>
      </c>
      <c r="F8" s="336">
        <v>25638.776835121025</v>
      </c>
      <c r="G8" s="336">
        <v>26940.122286271144</v>
      </c>
      <c r="H8" s="336">
        <v>28082.651842412961</v>
      </c>
      <c r="I8" s="336">
        <v>31958.645733586294</v>
      </c>
      <c r="J8" s="336">
        <v>32842.516176378587</v>
      </c>
      <c r="K8" s="336">
        <v>33645.861880679462</v>
      </c>
      <c r="L8" s="336">
        <v>34342.116783890087</v>
      </c>
      <c r="M8" s="336">
        <v>35183.274965727025</v>
      </c>
      <c r="N8" s="336">
        <v>20593.016310797662</v>
      </c>
      <c r="O8" s="336">
        <v>20871.67244879952</v>
      </c>
      <c r="P8" s="336">
        <v>21194.639839375774</v>
      </c>
      <c r="Q8" s="336">
        <v>21657.292657565271</v>
      </c>
      <c r="R8" s="337">
        <v>21958.936657511993</v>
      </c>
    </row>
    <row r="9" spans="1:67" ht="15.75">
      <c r="B9" s="327" t="s">
        <v>4</v>
      </c>
      <c r="C9" s="335">
        <v>283992.29071333125</v>
      </c>
      <c r="D9" s="336">
        <v>261116.88546543647</v>
      </c>
      <c r="E9" s="336">
        <v>271086.23665159091</v>
      </c>
      <c r="F9" s="336">
        <v>281215.36053656763</v>
      </c>
      <c r="G9" s="336">
        <v>291572.97664615425</v>
      </c>
      <c r="H9" s="336">
        <v>302217.01675334247</v>
      </c>
      <c r="I9" s="336">
        <v>247103.26300116268</v>
      </c>
      <c r="J9" s="336">
        <v>254250.68812584208</v>
      </c>
      <c r="K9" s="336">
        <v>265517.15807157377</v>
      </c>
      <c r="L9" s="336">
        <v>274656.52307015005</v>
      </c>
      <c r="M9" s="336">
        <v>286646.6107080314</v>
      </c>
      <c r="N9" s="336">
        <v>238892.31214210123</v>
      </c>
      <c r="O9" s="336">
        <v>226807.67917269483</v>
      </c>
      <c r="P9" s="336">
        <v>224578.16120729604</v>
      </c>
      <c r="Q9" s="336">
        <v>221137.37711332599</v>
      </c>
      <c r="R9" s="337">
        <v>219427.85209544571</v>
      </c>
    </row>
    <row r="10" spans="1:67" ht="15.75">
      <c r="B10" s="327" t="s">
        <v>5</v>
      </c>
      <c r="C10" s="335">
        <v>155873.26368515848</v>
      </c>
      <c r="D10" s="336">
        <v>143339.13362481832</v>
      </c>
      <c r="E10" s="336">
        <v>144091.44422239676</v>
      </c>
      <c r="F10" s="336">
        <v>144797.15362127154</v>
      </c>
      <c r="G10" s="336">
        <v>145574.11461613685</v>
      </c>
      <c r="H10" s="336">
        <v>146550.81851687908</v>
      </c>
      <c r="I10" s="336">
        <v>113140.36470843034</v>
      </c>
      <c r="J10" s="336">
        <v>113589.55945777835</v>
      </c>
      <c r="K10" s="336">
        <v>114435.28611559878</v>
      </c>
      <c r="L10" s="336">
        <v>115252.08278541823</v>
      </c>
      <c r="M10" s="336">
        <v>116973.33924935322</v>
      </c>
      <c r="N10" s="336">
        <v>111850.52133880206</v>
      </c>
      <c r="O10" s="336">
        <v>112451.97556556945</v>
      </c>
      <c r="P10" s="336">
        <v>113901.11326574607</v>
      </c>
      <c r="Q10" s="336">
        <v>114391.20809217158</v>
      </c>
      <c r="R10" s="337">
        <v>113054.51277206588</v>
      </c>
    </row>
    <row r="11" spans="1:67" ht="15.75">
      <c r="B11" s="327" t="s">
        <v>6</v>
      </c>
      <c r="C11" s="335">
        <v>19141.124254313865</v>
      </c>
      <c r="D11" s="336">
        <v>16514.883358897725</v>
      </c>
      <c r="E11" s="336">
        <v>16720.583675378362</v>
      </c>
      <c r="F11" s="336">
        <v>16920.414724808401</v>
      </c>
      <c r="G11" s="336">
        <v>17116.003790766641</v>
      </c>
      <c r="H11" s="336">
        <v>17308.46313837673</v>
      </c>
      <c r="I11" s="336">
        <v>12405.659220430574</v>
      </c>
      <c r="J11" s="336">
        <v>12239.518916665147</v>
      </c>
      <c r="K11" s="336">
        <v>12060.814584794934</v>
      </c>
      <c r="L11" s="336">
        <v>11870.600611457994</v>
      </c>
      <c r="M11" s="336">
        <v>11669.498419020758</v>
      </c>
      <c r="N11" s="336">
        <v>9694.8527079789201</v>
      </c>
      <c r="O11" s="336">
        <v>9326.9392556440289</v>
      </c>
      <c r="P11" s="336">
        <v>12540.402491282475</v>
      </c>
      <c r="Q11" s="336">
        <v>8556.4213207533576</v>
      </c>
      <c r="R11" s="337">
        <v>10787.53667604685</v>
      </c>
    </row>
    <row r="12" spans="1:67" ht="15.75">
      <c r="B12" s="327" t="s">
        <v>7</v>
      </c>
      <c r="C12" s="335">
        <v>182856.87463938209</v>
      </c>
      <c r="D12" s="336">
        <v>163831.27243882866</v>
      </c>
      <c r="E12" s="336">
        <v>161474.97523794119</v>
      </c>
      <c r="F12" s="336">
        <v>158937.7950727983</v>
      </c>
      <c r="G12" s="336">
        <v>157078.62921291453</v>
      </c>
      <c r="H12" s="336">
        <v>155355.06868163761</v>
      </c>
      <c r="I12" s="336">
        <v>114694.37588495479</v>
      </c>
      <c r="J12" s="336">
        <v>113520.52387864125</v>
      </c>
      <c r="K12" s="336">
        <v>117222.69290655429</v>
      </c>
      <c r="L12" s="336">
        <v>117823.09082616615</v>
      </c>
      <c r="M12" s="336">
        <v>118948.71714352557</v>
      </c>
      <c r="N12" s="336">
        <v>107324.43020543989</v>
      </c>
      <c r="O12" s="336">
        <v>112730.17297855933</v>
      </c>
      <c r="P12" s="336">
        <v>119142.78755337096</v>
      </c>
      <c r="Q12" s="336">
        <v>125800.76086370347</v>
      </c>
      <c r="R12" s="337">
        <v>130953.03915327505</v>
      </c>
    </row>
    <row r="13" spans="1:67" ht="15.75">
      <c r="B13" s="327" t="s">
        <v>8</v>
      </c>
      <c r="C13" s="335">
        <v>1128540.2288982472</v>
      </c>
      <c r="D13" s="336">
        <v>1133767.5356358229</v>
      </c>
      <c r="E13" s="336">
        <v>1113036.3126400355</v>
      </c>
      <c r="F13" s="336">
        <v>1094839.14415792</v>
      </c>
      <c r="G13" s="336">
        <v>1079805.3893467647</v>
      </c>
      <c r="H13" s="336">
        <v>1068484.2673563696</v>
      </c>
      <c r="I13" s="336">
        <v>673447.17503568437</v>
      </c>
      <c r="J13" s="336">
        <v>671179.38282796717</v>
      </c>
      <c r="K13" s="336">
        <v>669707.35600794491</v>
      </c>
      <c r="L13" s="336">
        <v>669616.13476512011</v>
      </c>
      <c r="M13" s="336">
        <v>673204.97018754063</v>
      </c>
      <c r="N13" s="336">
        <v>772684.8074480379</v>
      </c>
      <c r="O13" s="336">
        <v>777265.20457407413</v>
      </c>
      <c r="P13" s="336">
        <v>779193.25848128111</v>
      </c>
      <c r="Q13" s="336">
        <v>780691.64925819077</v>
      </c>
      <c r="R13" s="337">
        <v>779965.24603154254</v>
      </c>
    </row>
    <row r="14" spans="1:67" ht="15.75">
      <c r="B14" s="327" t="s">
        <v>9</v>
      </c>
      <c r="C14" s="335">
        <v>2422859.6989879739</v>
      </c>
      <c r="D14" s="336">
        <v>2510661.9655244742</v>
      </c>
      <c r="E14" s="336">
        <v>2523916.6713060341</v>
      </c>
      <c r="F14" s="336">
        <v>2517276.5143519621</v>
      </c>
      <c r="G14" s="336">
        <v>2500363.3629265381</v>
      </c>
      <c r="H14" s="336">
        <v>2479936.3596423268</v>
      </c>
      <c r="I14" s="336">
        <v>1683670.5333285192</v>
      </c>
      <c r="J14" s="336">
        <v>1637769.4373284229</v>
      </c>
      <c r="K14" s="336">
        <v>1592212.5050989864</v>
      </c>
      <c r="L14" s="336">
        <v>1861603.1000820938</v>
      </c>
      <c r="M14" s="336">
        <v>1491864.931459222</v>
      </c>
      <c r="N14" s="336">
        <v>1261436.4219662892</v>
      </c>
      <c r="O14" s="336">
        <v>1231708.1995445872</v>
      </c>
      <c r="P14" s="336">
        <v>1191734.5693735816</v>
      </c>
      <c r="Q14" s="336">
        <v>1201780.3261156008</v>
      </c>
      <c r="R14" s="337">
        <v>1106942.0862010932</v>
      </c>
    </row>
    <row r="15" spans="1:67" ht="15.75">
      <c r="B15" s="327" t="s">
        <v>10</v>
      </c>
      <c r="C15" s="335">
        <v>168593.12018071051</v>
      </c>
      <c r="D15" s="336">
        <v>174700.10858737878</v>
      </c>
      <c r="E15" s="336">
        <v>188877.77258376908</v>
      </c>
      <c r="F15" s="336">
        <v>202485.71614810979</v>
      </c>
      <c r="G15" s="336">
        <v>215194.64654109694</v>
      </c>
      <c r="H15" s="336">
        <v>226736.3841915885</v>
      </c>
      <c r="I15" s="336">
        <v>177685.43381975405</v>
      </c>
      <c r="J15" s="336">
        <v>183322.69541239695</v>
      </c>
      <c r="K15" s="336">
        <v>187642.16390854068</v>
      </c>
      <c r="L15" s="336">
        <v>191663.03058931703</v>
      </c>
      <c r="M15" s="336">
        <v>193335.6086635993</v>
      </c>
      <c r="N15" s="336">
        <v>149509.60108552215</v>
      </c>
      <c r="O15" s="336">
        <v>148721.95459802359</v>
      </c>
      <c r="P15" s="336">
        <v>150575.52801418843</v>
      </c>
      <c r="Q15" s="336">
        <v>148744.49926557599</v>
      </c>
      <c r="R15" s="337">
        <v>150356.64095953168</v>
      </c>
    </row>
    <row r="16" spans="1:67" ht="15.75">
      <c r="B16" s="327" t="s">
        <v>11</v>
      </c>
      <c r="C16" s="335">
        <v>173768.83805488286</v>
      </c>
      <c r="D16" s="336">
        <v>133692.21776142647</v>
      </c>
      <c r="E16" s="336">
        <v>135795.96487852142</v>
      </c>
      <c r="F16" s="336">
        <v>137908.47267056233</v>
      </c>
      <c r="G16" s="336">
        <v>140005.66696189001</v>
      </c>
      <c r="H16" s="336">
        <v>369421.44515808753</v>
      </c>
      <c r="I16" s="336">
        <v>116247.71255965281</v>
      </c>
      <c r="J16" s="336">
        <v>115190.12584740152</v>
      </c>
      <c r="K16" s="336">
        <v>101457.77360926963</v>
      </c>
      <c r="L16" s="336">
        <v>110035.78530032463</v>
      </c>
      <c r="M16" s="336">
        <v>93562.447050991861</v>
      </c>
      <c r="N16" s="336">
        <v>83430.656099478496</v>
      </c>
      <c r="O16" s="336">
        <v>78449.908228200919</v>
      </c>
      <c r="P16" s="336">
        <v>78693.285075626918</v>
      </c>
      <c r="Q16" s="336">
        <v>83873.929512867035</v>
      </c>
      <c r="R16" s="337">
        <v>111876.56845430023</v>
      </c>
    </row>
    <row r="17" spans="2:18" ht="15.75">
      <c r="B17" s="327" t="s">
        <v>12</v>
      </c>
      <c r="C17" s="335">
        <v>171426.59540537294</v>
      </c>
      <c r="D17" s="336">
        <v>177454.92890864966</v>
      </c>
      <c r="E17" s="336">
        <v>178144.99621823386</v>
      </c>
      <c r="F17" s="336">
        <v>178923.62551416099</v>
      </c>
      <c r="G17" s="336">
        <v>180018.61175771634</v>
      </c>
      <c r="H17" s="336">
        <v>181574.50124515529</v>
      </c>
      <c r="I17" s="336">
        <v>166030.24760997301</v>
      </c>
      <c r="J17" s="336">
        <v>168565.20382607184</v>
      </c>
      <c r="K17" s="336">
        <v>171568.73828630475</v>
      </c>
      <c r="L17" s="336">
        <v>174833.9483750675</v>
      </c>
      <c r="M17" s="336">
        <v>178215.46059904521</v>
      </c>
      <c r="N17" s="336">
        <v>152045.4381462452</v>
      </c>
      <c r="O17" s="336">
        <v>154757.58093511604</v>
      </c>
      <c r="P17" s="336">
        <v>157430.3905938908</v>
      </c>
      <c r="Q17" s="336">
        <v>158983.1594328394</v>
      </c>
      <c r="R17" s="337">
        <v>160555.71923334058</v>
      </c>
    </row>
    <row r="18" spans="2:18" ht="15.75">
      <c r="B18" s="327" t="s">
        <v>13</v>
      </c>
      <c r="C18" s="335">
        <v>2253103.8032654729</v>
      </c>
      <c r="D18" s="336">
        <v>2044937.460984272</v>
      </c>
      <c r="E18" s="336">
        <v>2024729.3898510609</v>
      </c>
      <c r="F18" s="336">
        <v>2010249.0662596589</v>
      </c>
      <c r="G18" s="336">
        <v>2019886.3173137023</v>
      </c>
      <c r="H18" s="336">
        <v>2013640.5494749183</v>
      </c>
      <c r="I18" s="336">
        <v>1880615.7436767793</v>
      </c>
      <c r="J18" s="336">
        <v>1907184.3555085205</v>
      </c>
      <c r="K18" s="336">
        <v>1918408.0077002854</v>
      </c>
      <c r="L18" s="336">
        <v>1889957.6069586575</v>
      </c>
      <c r="M18" s="336">
        <v>1923844.9030534702</v>
      </c>
      <c r="N18" s="336">
        <v>1328029.978807366</v>
      </c>
      <c r="O18" s="336">
        <v>1323566.0457759618</v>
      </c>
      <c r="P18" s="336">
        <v>1336257.1269065286</v>
      </c>
      <c r="Q18" s="336">
        <v>1354439.8201390351</v>
      </c>
      <c r="R18" s="337">
        <v>1340552.7168962525</v>
      </c>
    </row>
    <row r="19" spans="2:18" ht="15.75">
      <c r="B19" s="327" t="s">
        <v>14</v>
      </c>
      <c r="C19" s="335">
        <v>22932.191228975349</v>
      </c>
      <c r="D19" s="336">
        <v>17055.610158449417</v>
      </c>
      <c r="E19" s="336">
        <v>15242.405958655461</v>
      </c>
      <c r="F19" s="336">
        <v>14863.467153941787</v>
      </c>
      <c r="G19" s="336">
        <v>15836.09476020992</v>
      </c>
      <c r="H19" s="336">
        <v>17881.708983039811</v>
      </c>
      <c r="I19" s="336">
        <v>18326.961495304378</v>
      </c>
      <c r="J19" s="336">
        <v>17161.476288529509</v>
      </c>
      <c r="K19" s="336">
        <v>19853.328592843147</v>
      </c>
      <c r="L19" s="336">
        <v>21715.755301098958</v>
      </c>
      <c r="M19" s="336">
        <v>24787.181286725245</v>
      </c>
      <c r="N19" s="336">
        <v>22921.929453980825</v>
      </c>
      <c r="O19" s="336">
        <v>19464.890945880506</v>
      </c>
      <c r="P19" s="336">
        <v>17382.018737734445</v>
      </c>
      <c r="Q19" s="336">
        <v>16475.637956146966</v>
      </c>
      <c r="R19" s="337">
        <v>14204.45282560819</v>
      </c>
    </row>
    <row r="20" spans="2:18" ht="15.75">
      <c r="B20" s="327" t="s">
        <v>15</v>
      </c>
      <c r="C20" s="335">
        <v>94432.095126367727</v>
      </c>
      <c r="D20" s="336">
        <v>69090.134498373081</v>
      </c>
      <c r="E20" s="336">
        <v>49861.937694493063</v>
      </c>
      <c r="F20" s="336">
        <v>39441.42712981259</v>
      </c>
      <c r="G20" s="336">
        <v>39895.707917641164</v>
      </c>
      <c r="H20" s="336">
        <v>48130.280913793526</v>
      </c>
      <c r="I20" s="336">
        <v>47617.485806926372</v>
      </c>
      <c r="J20" s="336">
        <v>62076.239247779158</v>
      </c>
      <c r="K20" s="336">
        <v>75361.188435999647</v>
      </c>
      <c r="L20" s="336">
        <v>83593.514933372266</v>
      </c>
      <c r="M20" s="336">
        <v>84437.43821014266</v>
      </c>
      <c r="N20" s="336">
        <v>82551.018381532922</v>
      </c>
      <c r="O20" s="336">
        <v>73125.077867899046</v>
      </c>
      <c r="P20" s="336">
        <v>62412.728620134963</v>
      </c>
      <c r="Q20" s="336">
        <v>52682.814978119932</v>
      </c>
      <c r="R20" s="337">
        <v>46003.471175434112</v>
      </c>
    </row>
    <row r="21" spans="2:18" ht="15.75">
      <c r="B21" s="327" t="s">
        <v>16</v>
      </c>
      <c r="C21" s="335">
        <v>23465.118905614974</v>
      </c>
      <c r="D21" s="336">
        <v>21251.854515752784</v>
      </c>
      <c r="E21" s="336">
        <v>21216.175887812315</v>
      </c>
      <c r="F21" s="336">
        <v>21160.450539316487</v>
      </c>
      <c r="G21" s="336">
        <v>21440.451747030656</v>
      </c>
      <c r="H21" s="336">
        <v>21800.630508997765</v>
      </c>
      <c r="I21" s="336">
        <v>18510.6139135333</v>
      </c>
      <c r="J21" s="336">
        <v>18073.823685787345</v>
      </c>
      <c r="K21" s="336">
        <v>19214.664483941095</v>
      </c>
      <c r="L21" s="336">
        <v>17537.483117286964</v>
      </c>
      <c r="M21" s="336">
        <v>16879.383160704063</v>
      </c>
      <c r="N21" s="336">
        <v>17356.289397776742</v>
      </c>
      <c r="O21" s="336">
        <v>16851.634501000768</v>
      </c>
      <c r="P21" s="336">
        <v>17166.473531897867</v>
      </c>
      <c r="Q21" s="336">
        <v>16676.902352428515</v>
      </c>
      <c r="R21" s="337">
        <v>16162.768500423794</v>
      </c>
    </row>
    <row r="22" spans="2:18" ht="15.75">
      <c r="B22" s="327" t="s">
        <v>17</v>
      </c>
      <c r="C22" s="335">
        <v>7199.5167086272477</v>
      </c>
      <c r="D22" s="336">
        <v>6282.9800824797039</v>
      </c>
      <c r="E22" s="336">
        <v>6021.1220302695001</v>
      </c>
      <c r="F22" s="336">
        <v>5733.7347743708951</v>
      </c>
      <c r="G22" s="336">
        <v>5452.2779097307448</v>
      </c>
      <c r="H22" s="336">
        <v>5187.6908150319105</v>
      </c>
      <c r="I22" s="336">
        <v>4569.3766087541126</v>
      </c>
      <c r="J22" s="336">
        <v>4489.2057291664041</v>
      </c>
      <c r="K22" s="336">
        <v>4559.9823921369061</v>
      </c>
      <c r="L22" s="336">
        <v>4777.3348459425652</v>
      </c>
      <c r="M22" s="336">
        <v>5088.9818461852146</v>
      </c>
      <c r="N22" s="336">
        <v>4537.5873578107521</v>
      </c>
      <c r="O22" s="336">
        <v>4788.5533170777489</v>
      </c>
      <c r="P22" s="336">
        <v>4927.4114317175727</v>
      </c>
      <c r="Q22" s="336">
        <v>4944.6630326867225</v>
      </c>
      <c r="R22" s="337">
        <v>4816.6925435480207</v>
      </c>
    </row>
    <row r="23" spans="2:18" ht="15.75">
      <c r="B23" s="327" t="s">
        <v>18</v>
      </c>
      <c r="C23" s="335">
        <v>401067.45763763617</v>
      </c>
      <c r="D23" s="336">
        <v>414100.10614922404</v>
      </c>
      <c r="E23" s="336">
        <v>413916.11048146995</v>
      </c>
      <c r="F23" s="336">
        <v>414735.84278504906</v>
      </c>
      <c r="G23" s="336">
        <v>432028.74727904907</v>
      </c>
      <c r="H23" s="336">
        <v>668971.17904112441</v>
      </c>
      <c r="I23" s="336">
        <v>366200.95096386294</v>
      </c>
      <c r="J23" s="336">
        <v>365874.66526471474</v>
      </c>
      <c r="K23" s="336">
        <v>363360.96251639957</v>
      </c>
      <c r="L23" s="336">
        <v>368065.47539560735</v>
      </c>
      <c r="M23" s="336">
        <v>365133.98299360165</v>
      </c>
      <c r="N23" s="336">
        <v>325823.90872471099</v>
      </c>
      <c r="O23" s="336">
        <v>315688.1564014976</v>
      </c>
      <c r="P23" s="336">
        <v>314981.60872949532</v>
      </c>
      <c r="Q23" s="336">
        <v>307274.34340109391</v>
      </c>
      <c r="R23" s="337">
        <v>304324.16429053521</v>
      </c>
    </row>
    <row r="24" spans="2:18" ht="15.75">
      <c r="B24" s="327" t="s">
        <v>19</v>
      </c>
      <c r="C24" s="335">
        <v>424433.22165972984</v>
      </c>
      <c r="D24" s="336">
        <v>397606.73068165267</v>
      </c>
      <c r="E24" s="336">
        <v>421237.32585677429</v>
      </c>
      <c r="F24" s="336">
        <v>444798.50304724043</v>
      </c>
      <c r="G24" s="336">
        <v>475653.77088259981</v>
      </c>
      <c r="H24" s="336">
        <v>504452.63510710403</v>
      </c>
      <c r="I24" s="336">
        <v>442604.195344607</v>
      </c>
      <c r="J24" s="336">
        <v>463176.78825544234</v>
      </c>
      <c r="K24" s="336">
        <v>449746.39318443381</v>
      </c>
      <c r="L24" s="336">
        <v>483824.98172751768</v>
      </c>
      <c r="M24" s="336">
        <v>501717.2615501266</v>
      </c>
      <c r="N24" s="336">
        <v>451759.22050682071</v>
      </c>
      <c r="O24" s="336">
        <v>483590.0662867871</v>
      </c>
      <c r="P24" s="336">
        <v>524521.54087379843</v>
      </c>
      <c r="Q24" s="336">
        <v>524967.08308897552</v>
      </c>
      <c r="R24" s="337">
        <v>541100.04096951894</v>
      </c>
    </row>
    <row r="25" spans="2:18" ht="15.75">
      <c r="B25" s="327" t="s">
        <v>20</v>
      </c>
      <c r="C25" s="335">
        <v>204149.01673872033</v>
      </c>
      <c r="D25" s="336">
        <v>206430.74813257169</v>
      </c>
      <c r="E25" s="336">
        <v>203348.69294712815</v>
      </c>
      <c r="F25" s="336">
        <v>199900.38651271464</v>
      </c>
      <c r="G25" s="336">
        <v>196316.48491337063</v>
      </c>
      <c r="H25" s="336">
        <v>192847.1964701977</v>
      </c>
      <c r="I25" s="336">
        <v>148253.13616585074</v>
      </c>
      <c r="J25" s="336">
        <v>147113.59966581772</v>
      </c>
      <c r="K25" s="336">
        <v>145954.04134363076</v>
      </c>
      <c r="L25" s="336">
        <v>143774.20113962557</v>
      </c>
      <c r="M25" s="336">
        <v>143009.50238434371</v>
      </c>
      <c r="N25" s="336">
        <v>111432.71395092392</v>
      </c>
      <c r="O25" s="336">
        <v>113416.92224766765</v>
      </c>
      <c r="P25" s="336">
        <v>115127.44856962356</v>
      </c>
      <c r="Q25" s="336">
        <v>118110.84874410533</v>
      </c>
      <c r="R25" s="337">
        <v>121983.48318050342</v>
      </c>
    </row>
    <row r="26" spans="2:18" ht="15.75">
      <c r="B26" s="327" t="s">
        <v>21</v>
      </c>
      <c r="C26" s="335">
        <v>225935.17172041154</v>
      </c>
      <c r="D26" s="336">
        <v>223985.78425341772</v>
      </c>
      <c r="E26" s="336">
        <v>233686.02448754528</v>
      </c>
      <c r="F26" s="336">
        <v>241858.31431086687</v>
      </c>
      <c r="G26" s="336">
        <v>248703.13404135325</v>
      </c>
      <c r="H26" s="336">
        <v>257005.42915283199</v>
      </c>
      <c r="I26" s="336">
        <v>229143.9710317479</v>
      </c>
      <c r="J26" s="336">
        <v>236228.1273725706</v>
      </c>
      <c r="K26" s="336">
        <v>238445.62239409506</v>
      </c>
      <c r="L26" s="336">
        <v>240726.65668886853</v>
      </c>
      <c r="M26" s="336">
        <v>253692.34415933702</v>
      </c>
      <c r="N26" s="336">
        <v>224933.24085191355</v>
      </c>
      <c r="O26" s="336">
        <v>227636.3530787268</v>
      </c>
      <c r="P26" s="336">
        <v>214553.91851799915</v>
      </c>
      <c r="Q26" s="336">
        <v>215043.65215960957</v>
      </c>
      <c r="R26" s="337">
        <v>215281.2111340448</v>
      </c>
    </row>
    <row r="27" spans="2:18" ht="15.75">
      <c r="B27" s="327" t="s">
        <v>22</v>
      </c>
      <c r="C27" s="335">
        <v>52925.513211036407</v>
      </c>
      <c r="D27" s="336">
        <v>45239.80527289569</v>
      </c>
      <c r="E27" s="336">
        <v>47313.011165244578</v>
      </c>
      <c r="F27" s="336">
        <v>49436.975069193082</v>
      </c>
      <c r="G27" s="336">
        <v>53820.468809825201</v>
      </c>
      <c r="H27" s="336">
        <v>55153.354551054654</v>
      </c>
      <c r="I27" s="336">
        <v>60397.446885000958</v>
      </c>
      <c r="J27" s="336">
        <v>44429.788511492465</v>
      </c>
      <c r="K27" s="336">
        <v>54373.744890824382</v>
      </c>
      <c r="L27" s="336">
        <v>48065.155711723775</v>
      </c>
      <c r="M27" s="336">
        <v>55404.666824128712</v>
      </c>
      <c r="N27" s="336">
        <v>31948.909057742563</v>
      </c>
      <c r="O27" s="336">
        <v>34608.797823370864</v>
      </c>
      <c r="P27" s="336">
        <v>43355.010133482516</v>
      </c>
      <c r="Q27" s="336">
        <v>36146.269639202495</v>
      </c>
      <c r="R27" s="337">
        <v>31733.168979050166</v>
      </c>
    </row>
    <row r="28" spans="2:18" ht="15.75">
      <c r="B28" s="327" t="s">
        <v>23</v>
      </c>
      <c r="C28" s="335">
        <v>55873.21272272215</v>
      </c>
      <c r="D28" s="336">
        <v>54455.565264473305</v>
      </c>
      <c r="E28" s="336">
        <v>54793.204916056391</v>
      </c>
      <c r="F28" s="336">
        <v>55416.97284693682</v>
      </c>
      <c r="G28" s="336">
        <v>56574.235474205561</v>
      </c>
      <c r="H28" s="336">
        <v>57438.830130359311</v>
      </c>
      <c r="I28" s="336">
        <v>49054.858291562508</v>
      </c>
      <c r="J28" s="336">
        <v>38692.679549207067</v>
      </c>
      <c r="K28" s="336">
        <v>40349.344758179395</v>
      </c>
      <c r="L28" s="336">
        <v>39054.587838206513</v>
      </c>
      <c r="M28" s="336">
        <v>38905.344593922622</v>
      </c>
      <c r="N28" s="336">
        <v>42430.732757220903</v>
      </c>
      <c r="O28" s="336">
        <v>48269.539349704646</v>
      </c>
      <c r="P28" s="336">
        <v>40333.047099337375</v>
      </c>
      <c r="Q28" s="336">
        <v>39356.226258895636</v>
      </c>
      <c r="R28" s="337">
        <v>38838.225084748534</v>
      </c>
    </row>
    <row r="29" spans="2:18" ht="15.75">
      <c r="B29" s="327" t="s">
        <v>24</v>
      </c>
      <c r="C29" s="335">
        <v>717490.58678418922</v>
      </c>
      <c r="D29" s="336">
        <v>784158.62232245889</v>
      </c>
      <c r="E29" s="336">
        <v>774486.2918069025</v>
      </c>
      <c r="F29" s="336">
        <v>765391.88925050478</v>
      </c>
      <c r="G29" s="336">
        <v>757914.63786123483</v>
      </c>
      <c r="H29" s="336">
        <v>751307.15056700341</v>
      </c>
      <c r="I29" s="336">
        <v>437088.54362798459</v>
      </c>
      <c r="J29" s="336">
        <v>419852.97085657797</v>
      </c>
      <c r="K29" s="336">
        <v>420161.26642794895</v>
      </c>
      <c r="L29" s="336">
        <v>405857.44371897646</v>
      </c>
      <c r="M29" s="336">
        <v>405264.33266642643</v>
      </c>
      <c r="N29" s="336">
        <v>446498.06813740963</v>
      </c>
      <c r="O29" s="336">
        <v>441960.33216552308</v>
      </c>
      <c r="P29" s="336">
        <v>463158.91424772912</v>
      </c>
      <c r="Q29" s="336">
        <v>470617.78908615885</v>
      </c>
      <c r="R29" s="337">
        <v>455319.11932479357</v>
      </c>
    </row>
    <row r="30" spans="2:18" ht="15.75">
      <c r="B30" s="327" t="s">
        <v>25</v>
      </c>
      <c r="C30" s="335">
        <v>365810.22218668391</v>
      </c>
      <c r="D30" s="336">
        <v>321957.3009167714</v>
      </c>
      <c r="E30" s="336">
        <v>313264.46735180129</v>
      </c>
      <c r="F30" s="336">
        <v>308407.83525172138</v>
      </c>
      <c r="G30" s="336">
        <v>307593.82390277699</v>
      </c>
      <c r="H30" s="336">
        <v>309584.58303604223</v>
      </c>
      <c r="I30" s="336">
        <v>252668.53876744868</v>
      </c>
      <c r="J30" s="336">
        <v>256608.11322440603</v>
      </c>
      <c r="K30" s="336">
        <v>259911.22372182115</v>
      </c>
      <c r="L30" s="336">
        <v>262650.87992564775</v>
      </c>
      <c r="M30" s="336">
        <v>265046.8699794506</v>
      </c>
      <c r="N30" s="336">
        <v>226210.25743583433</v>
      </c>
      <c r="O30" s="336">
        <v>226084.40785705071</v>
      </c>
      <c r="P30" s="336">
        <v>224744.71051659051</v>
      </c>
      <c r="Q30" s="336">
        <v>222212.06282116711</v>
      </c>
      <c r="R30" s="337">
        <v>218721.55030238791</v>
      </c>
    </row>
    <row r="31" spans="2:18" ht="16.5" thickBot="1">
      <c r="B31" s="328" t="s">
        <v>26</v>
      </c>
      <c r="C31" s="338">
        <v>2329701.0012759482</v>
      </c>
      <c r="D31" s="339">
        <v>2204252.3829091089</v>
      </c>
      <c r="E31" s="339">
        <v>2140393.3585816538</v>
      </c>
      <c r="F31" s="339">
        <v>2096135.1010703789</v>
      </c>
      <c r="G31" s="339">
        <v>2083391.8202029467</v>
      </c>
      <c r="H31" s="339">
        <v>2101654.7428405685</v>
      </c>
      <c r="I31" s="339">
        <v>1799022.8333357209</v>
      </c>
      <c r="J31" s="339">
        <v>1869593.6314426407</v>
      </c>
      <c r="K31" s="339">
        <v>1953625.4106324615</v>
      </c>
      <c r="L31" s="339">
        <v>2026177.4655377083</v>
      </c>
      <c r="M31" s="339">
        <v>2069588.8641189605</v>
      </c>
      <c r="N31" s="339">
        <v>2070095.6331967472</v>
      </c>
      <c r="O31" s="339">
        <v>2053613.2950012137</v>
      </c>
      <c r="P31" s="339">
        <v>2021740.948634187</v>
      </c>
      <c r="Q31" s="339">
        <v>1981324.4405386245</v>
      </c>
      <c r="R31" s="340">
        <v>1938358.74378624</v>
      </c>
    </row>
    <row r="32" spans="2:18" s="27" customFormat="1" ht="15.75" thickBot="1"/>
    <row r="33" spans="2:18" ht="16.5" thickBot="1">
      <c r="B33" s="329" t="s">
        <v>77</v>
      </c>
      <c r="C33" s="330">
        <f>SUM(C5:C31)</f>
        <v>12461795.397800472</v>
      </c>
      <c r="D33" s="330">
        <f t="shared" ref="D33:R33" si="0">SUM(D5:D31)</f>
        <v>12061574.549201667</v>
      </c>
      <c r="E33" s="330">
        <f t="shared" si="0"/>
        <v>12004607.340855427</v>
      </c>
      <c r="F33" s="330">
        <f t="shared" si="0"/>
        <v>11981608.826101728</v>
      </c>
      <c r="G33" s="330">
        <f t="shared" si="0"/>
        <v>12077905.324261546</v>
      </c>
      <c r="H33" s="330">
        <f t="shared" si="0"/>
        <v>12637067.217560742</v>
      </c>
      <c r="I33" s="330">
        <f t="shared" si="0"/>
        <v>9547182.1399962232</v>
      </c>
      <c r="J33" s="330">
        <f t="shared" si="0"/>
        <v>9606405.7960448749</v>
      </c>
      <c r="K33" s="330">
        <f t="shared" si="0"/>
        <v>9680927.4677071217</v>
      </c>
      <c r="L33" s="330">
        <f t="shared" si="0"/>
        <v>10046360.318599418</v>
      </c>
      <c r="M33" s="330">
        <f t="shared" si="0"/>
        <v>9799053.8831536509</v>
      </c>
      <c r="N33" s="330">
        <f t="shared" si="0"/>
        <v>8716013.2032037638</v>
      </c>
      <c r="O33" s="330">
        <f t="shared" si="0"/>
        <v>8672945.3040618431</v>
      </c>
      <c r="P33" s="330">
        <f t="shared" si="0"/>
        <v>8654512.8617583215</v>
      </c>
      <c r="Q33" s="330">
        <f t="shared" si="0"/>
        <v>8625762.5219088253</v>
      </c>
      <c r="R33" s="331">
        <f t="shared" si="0"/>
        <v>8488372.9227999486</v>
      </c>
    </row>
    <row r="34" spans="2:18" s="27" customFormat="1"/>
    <row r="35" spans="2:18" s="27" customFormat="1"/>
    <row r="36" spans="2:18" s="27" customFormat="1"/>
    <row r="37" spans="2:18" s="27" customFormat="1"/>
    <row r="38" spans="2:18" s="27" customFormat="1"/>
    <row r="39" spans="2:18" s="27" customFormat="1"/>
    <row r="40" spans="2:18" s="27" customFormat="1"/>
    <row r="41" spans="2:18" s="27" customFormat="1"/>
    <row r="42" spans="2:18" s="27" customFormat="1"/>
    <row r="43" spans="2:18" s="27" customFormat="1"/>
    <row r="44" spans="2:18" s="27" customFormat="1"/>
    <row r="45" spans="2:18" s="27" customFormat="1"/>
    <row r="46" spans="2:18" s="27" customFormat="1"/>
    <row r="47" spans="2:18" s="27" customFormat="1"/>
    <row r="48" spans="2:18" s="27" customFormat="1"/>
    <row r="49" s="27" customFormat="1"/>
    <row r="50" s="27" customFormat="1"/>
    <row r="51" s="27" customFormat="1"/>
    <row r="52" s="27" customFormat="1"/>
    <row r="53" s="27" customFormat="1"/>
    <row r="54" s="27" customFormat="1"/>
    <row r="55" s="27" customFormat="1"/>
    <row r="56" s="27" customFormat="1"/>
    <row r="57" s="27" customFormat="1"/>
    <row r="58" s="27" customFormat="1"/>
    <row r="59" s="27" customFormat="1"/>
    <row r="60" s="27" customFormat="1"/>
    <row r="61" s="27" customFormat="1"/>
    <row r="62" s="27" customFormat="1"/>
    <row r="63" s="27" customFormat="1"/>
    <row r="64" s="27" customFormat="1"/>
    <row r="65" s="27" customFormat="1"/>
    <row r="66" s="27" customFormat="1"/>
    <row r="67" s="27" customFormat="1"/>
    <row r="68" s="27" customFormat="1"/>
    <row r="69" s="27" customFormat="1"/>
    <row r="70" s="27" customFormat="1"/>
    <row r="71" s="27" customFormat="1"/>
    <row r="72" s="27" customFormat="1"/>
    <row r="73" s="27" customFormat="1"/>
    <row r="74" s="27" customFormat="1"/>
    <row r="75" s="27" customFormat="1"/>
    <row r="76" s="27" customFormat="1"/>
    <row r="77" s="27" customFormat="1"/>
    <row r="78" s="27" customFormat="1"/>
    <row r="79" s="27" customFormat="1"/>
    <row r="80" s="27" customFormat="1"/>
    <row r="81" s="27" customFormat="1"/>
    <row r="82" s="27" customFormat="1"/>
    <row r="83" s="27" customFormat="1"/>
    <row r="84" s="27" customFormat="1"/>
    <row r="85" s="27" customFormat="1"/>
    <row r="86" s="27" customFormat="1"/>
    <row r="87" s="27" customFormat="1"/>
    <row r="88" s="27" customFormat="1"/>
    <row r="89" s="27" customFormat="1"/>
    <row r="90" s="27" customFormat="1"/>
    <row r="91" s="27" customFormat="1"/>
    <row r="92" s="27" customFormat="1"/>
    <row r="93" s="27" customFormat="1"/>
    <row r="94" s="27" customFormat="1"/>
    <row r="95" s="27" customFormat="1"/>
    <row r="96" s="27" customFormat="1"/>
    <row r="97" s="27" customFormat="1"/>
    <row r="98" s="27" customFormat="1"/>
    <row r="99" s="27" customFormat="1"/>
    <row r="100" s="27" customFormat="1"/>
    <row r="101" s="27" customFormat="1"/>
    <row r="102" s="27" customFormat="1"/>
    <row r="103" s="27" customFormat="1"/>
    <row r="104" s="27" customFormat="1"/>
    <row r="105" s="27" customFormat="1"/>
    <row r="106" s="27" customFormat="1"/>
    <row r="107" s="27" customFormat="1"/>
    <row r="108" s="27" customFormat="1"/>
    <row r="109" s="27" customFormat="1"/>
    <row r="110" s="27" customFormat="1"/>
    <row r="111" s="27" customFormat="1"/>
    <row r="112" s="27" customFormat="1"/>
    <row r="113" s="27" customFormat="1"/>
    <row r="114" s="27" customFormat="1"/>
    <row r="115" s="27" customFormat="1"/>
    <row r="116" s="27" customFormat="1"/>
    <row r="117" s="27" customFormat="1"/>
    <row r="118" s="27" customFormat="1"/>
    <row r="119" s="27" customFormat="1"/>
    <row r="120" s="27" customFormat="1"/>
    <row r="121" s="27" customFormat="1"/>
    <row r="122" s="27" customFormat="1"/>
    <row r="123" s="27" customFormat="1"/>
    <row r="124" s="27" customFormat="1"/>
    <row r="125" s="27" customFormat="1"/>
    <row r="126" s="27" customFormat="1"/>
    <row r="127" s="27" customFormat="1"/>
    <row r="128" s="27" customFormat="1"/>
    <row r="129" s="27" customFormat="1"/>
    <row r="130" s="27" customFormat="1"/>
    <row r="131" s="27" customFormat="1"/>
    <row r="132" s="27" customFormat="1"/>
    <row r="133" s="27" customFormat="1"/>
    <row r="134" s="27" customFormat="1"/>
    <row r="135" s="27" customFormat="1"/>
    <row r="136" s="27" customFormat="1"/>
    <row r="137" s="27" customFormat="1"/>
    <row r="138" s="27" customFormat="1"/>
    <row r="139" s="27" customFormat="1"/>
    <row r="140" s="27" customFormat="1"/>
    <row r="141" s="27" customFormat="1"/>
    <row r="142" s="27" customFormat="1"/>
    <row r="143" s="27" customFormat="1"/>
    <row r="144" s="27" customFormat="1"/>
    <row r="145" s="27" customFormat="1"/>
    <row r="146" s="27" customFormat="1"/>
    <row r="147" s="27" customFormat="1"/>
    <row r="148" s="27" customFormat="1"/>
    <row r="149" s="27" customFormat="1"/>
    <row r="150" s="27" customFormat="1"/>
    <row r="151" s="27" customFormat="1"/>
    <row r="152" s="27" customFormat="1"/>
    <row r="153" s="27" customFormat="1"/>
    <row r="154" s="27" customFormat="1"/>
    <row r="155" s="27" customFormat="1"/>
    <row r="156" s="27" customFormat="1"/>
    <row r="157" s="27" customFormat="1"/>
    <row r="158" s="27" customFormat="1"/>
    <row r="159" s="27" customFormat="1"/>
    <row r="160" s="27" customFormat="1"/>
    <row r="161" s="27" customFormat="1"/>
    <row r="162" s="27" customFormat="1"/>
    <row r="163" s="27" customFormat="1"/>
    <row r="164" s="27" customFormat="1"/>
    <row r="165" s="27" customFormat="1"/>
    <row r="166" s="27" customFormat="1"/>
    <row r="167" s="27" customFormat="1"/>
    <row r="168" s="27" customFormat="1"/>
    <row r="169" s="27" customFormat="1"/>
    <row r="170" s="27" customFormat="1"/>
    <row r="171" s="27" customFormat="1"/>
    <row r="172" s="27" customFormat="1"/>
    <row r="173" s="27" customFormat="1"/>
    <row r="174" s="27" customFormat="1"/>
    <row r="175" s="27" customFormat="1"/>
    <row r="176" s="27" customFormat="1"/>
    <row r="177" s="27" customFormat="1"/>
    <row r="178" s="27" customFormat="1"/>
    <row r="179" s="27" customFormat="1"/>
    <row r="180" s="27" customFormat="1"/>
    <row r="181" s="27" customFormat="1"/>
    <row r="182" s="27" customFormat="1"/>
    <row r="183" s="27" customFormat="1"/>
    <row r="184" s="27" customFormat="1"/>
    <row r="185" s="27" customFormat="1"/>
    <row r="186" s="27" customFormat="1"/>
    <row r="187" s="27" customFormat="1"/>
    <row r="188" s="27" customFormat="1"/>
    <row r="189" s="27" customFormat="1"/>
    <row r="190" s="27" customFormat="1"/>
    <row r="191" s="27" customFormat="1"/>
    <row r="192" s="27" customFormat="1"/>
    <row r="193" s="27" customFormat="1"/>
    <row r="194" s="27" customFormat="1"/>
    <row r="195" s="27" customFormat="1"/>
    <row r="196" s="27" customFormat="1"/>
    <row r="197" s="27" customFormat="1"/>
    <row r="198" s="27" customFormat="1"/>
    <row r="199" s="27" customFormat="1"/>
    <row r="200" s="27" customFormat="1"/>
    <row r="201" s="27" customFormat="1"/>
    <row r="202" s="27" customFormat="1"/>
    <row r="203" s="27" customFormat="1"/>
    <row r="204" s="27" customFormat="1"/>
    <row r="205" s="27" customFormat="1"/>
  </sheetData>
  <pageMargins left="0.7" right="0.7" top="0.75" bottom="0.75" header="0.3" footer="0.3"/>
  <pageSetup scale="59" orientation="landscape"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dimension ref="A1:CC246"/>
  <sheetViews>
    <sheetView workbookViewId="0"/>
  </sheetViews>
  <sheetFormatPr defaultRowHeight="15"/>
  <cols>
    <col min="1" max="1" width="9.140625" style="27"/>
    <col min="2" max="2" width="29.140625" customWidth="1"/>
    <col min="3" max="3" width="17" style="1" customWidth="1"/>
    <col min="4" max="4" width="18.140625" customWidth="1"/>
    <col min="5" max="5" width="20.5703125" customWidth="1"/>
    <col min="6" max="6" width="19.28515625" customWidth="1"/>
    <col min="7" max="7" width="19.28515625" style="27" customWidth="1"/>
    <col min="8" max="8" width="19" customWidth="1"/>
    <col min="9" max="9" width="11.5703125" customWidth="1"/>
    <col min="10" max="11" width="10.5703125" bestFit="1" customWidth="1"/>
    <col min="15" max="15" width="9.28515625" customWidth="1"/>
    <col min="16" max="16" width="15" style="92" bestFit="1" customWidth="1"/>
    <col min="17" max="17" width="13" customWidth="1"/>
    <col min="18" max="18" width="11.28515625" customWidth="1"/>
    <col min="20" max="20" width="12.7109375" customWidth="1"/>
    <col min="21" max="21" width="11.42578125" customWidth="1"/>
    <col min="22" max="22" width="10.85546875" customWidth="1"/>
    <col min="28" max="28" width="15" bestFit="1" customWidth="1"/>
    <col min="29" max="29" width="9.85546875" bestFit="1" customWidth="1"/>
    <col min="30" max="30" width="10.28515625" bestFit="1" customWidth="1"/>
    <col min="31" max="31" width="9.140625" style="27"/>
    <col min="32" max="32" width="17.85546875" style="27" bestFit="1" customWidth="1"/>
    <col min="33" max="33" width="18.140625" style="27" bestFit="1" customWidth="1"/>
    <col min="34" max="81" width="9.140625" style="27"/>
  </cols>
  <sheetData>
    <row r="1" spans="1:81" s="27" customFormat="1">
      <c r="C1" s="703"/>
      <c r="H1" s="200"/>
    </row>
    <row r="2" spans="1:81" s="27" customFormat="1" ht="15.75" thickBot="1">
      <c r="C2" s="703"/>
      <c r="H2" s="200"/>
    </row>
    <row r="3" spans="1:81" s="2" customFormat="1" ht="21">
      <c r="A3" s="527"/>
      <c r="B3" s="685" t="s">
        <v>43</v>
      </c>
      <c r="C3" s="686"/>
      <c r="D3" s="687"/>
      <c r="E3" s="687"/>
      <c r="F3" s="687"/>
      <c r="G3" s="688"/>
      <c r="H3" s="525"/>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527"/>
      <c r="AJ3" s="527"/>
      <c r="AK3" s="527"/>
      <c r="AL3" s="527"/>
      <c r="AM3" s="527"/>
      <c r="AN3" s="527"/>
      <c r="AO3" s="527"/>
      <c r="AP3" s="527"/>
      <c r="AQ3" s="527"/>
      <c r="AR3" s="527"/>
      <c r="AS3" s="527"/>
      <c r="AT3" s="527"/>
      <c r="AU3" s="527"/>
      <c r="AV3" s="527"/>
      <c r="AW3" s="527"/>
      <c r="AX3" s="527"/>
      <c r="AY3" s="527"/>
      <c r="AZ3" s="527"/>
      <c r="BA3" s="527"/>
      <c r="BB3" s="527"/>
      <c r="BC3" s="527"/>
      <c r="BD3" s="527"/>
      <c r="BE3" s="527"/>
      <c r="BF3" s="527"/>
      <c r="BG3" s="527"/>
      <c r="BH3" s="527"/>
      <c r="BI3" s="527"/>
      <c r="BJ3" s="527"/>
      <c r="BK3" s="527"/>
      <c r="BL3" s="527"/>
      <c r="BM3" s="527"/>
      <c r="BN3" s="527"/>
      <c r="BO3" s="527"/>
      <c r="BP3" s="527"/>
      <c r="BQ3" s="527"/>
      <c r="BR3" s="527"/>
      <c r="BS3" s="527"/>
      <c r="BT3" s="527"/>
      <c r="BU3" s="527"/>
      <c r="BV3" s="527"/>
      <c r="BW3" s="527"/>
      <c r="BX3" s="527"/>
      <c r="BY3" s="527"/>
      <c r="BZ3" s="527"/>
      <c r="CA3" s="527"/>
      <c r="CB3" s="527"/>
      <c r="CC3" s="527"/>
    </row>
    <row r="4" spans="1:81" s="2" customFormat="1" ht="21">
      <c r="A4" s="527"/>
      <c r="B4" s="417"/>
      <c r="C4" s="526"/>
      <c r="D4" s="525"/>
      <c r="E4" s="525"/>
      <c r="F4" s="525"/>
      <c r="G4" s="684"/>
      <c r="H4" s="525"/>
      <c r="I4" s="527"/>
      <c r="J4" s="527"/>
      <c r="K4" s="527"/>
      <c r="L4" s="527"/>
      <c r="M4" s="527"/>
      <c r="N4" s="527"/>
      <c r="O4" s="527"/>
      <c r="P4" s="527"/>
      <c r="Q4" s="527"/>
      <c r="R4" s="527"/>
      <c r="S4" s="527"/>
      <c r="T4" s="527"/>
      <c r="U4" s="527"/>
      <c r="V4" s="527"/>
      <c r="W4" s="527"/>
      <c r="X4" s="527"/>
      <c r="Y4" s="527"/>
      <c r="Z4" s="527"/>
      <c r="AA4" s="527"/>
      <c r="AB4" s="527"/>
      <c r="AC4" s="527"/>
      <c r="AD4" s="527"/>
      <c r="AE4" s="527"/>
      <c r="AF4" s="527"/>
      <c r="AG4" s="527"/>
      <c r="AH4" s="527"/>
      <c r="AI4" s="527"/>
      <c r="AJ4" s="527"/>
      <c r="AK4" s="527"/>
      <c r="AL4" s="527"/>
      <c r="AM4" s="527"/>
      <c r="AN4" s="527"/>
      <c r="AO4" s="527"/>
      <c r="AP4" s="527"/>
      <c r="AQ4" s="527"/>
      <c r="AR4" s="527"/>
      <c r="AS4" s="527"/>
      <c r="AT4" s="527"/>
      <c r="AU4" s="527"/>
      <c r="AV4" s="527"/>
      <c r="AW4" s="527"/>
      <c r="AX4" s="527"/>
      <c r="AY4" s="527"/>
      <c r="AZ4" s="527"/>
      <c r="BA4" s="527"/>
      <c r="BB4" s="527"/>
      <c r="BC4" s="527"/>
      <c r="BD4" s="527"/>
      <c r="BE4" s="527"/>
      <c r="BF4" s="527"/>
      <c r="BG4" s="527"/>
      <c r="BH4" s="527"/>
      <c r="BI4" s="527"/>
      <c r="BJ4" s="527"/>
      <c r="BK4" s="527"/>
      <c r="BL4" s="527"/>
      <c r="BM4" s="527"/>
      <c r="BN4" s="527"/>
      <c r="BO4" s="527"/>
      <c r="BP4" s="527"/>
      <c r="BQ4" s="527"/>
      <c r="BR4" s="527"/>
      <c r="BS4" s="527"/>
      <c r="BT4" s="527"/>
      <c r="BU4" s="527"/>
      <c r="BV4" s="527"/>
      <c r="BW4" s="527"/>
      <c r="BX4" s="527"/>
      <c r="BY4" s="527"/>
      <c r="BZ4" s="527"/>
      <c r="CA4" s="527"/>
      <c r="CB4" s="527"/>
      <c r="CC4" s="527"/>
    </row>
    <row r="5" spans="1:81" s="2" customFormat="1" ht="21">
      <c r="A5" s="527"/>
      <c r="B5" s="716" t="s">
        <v>281</v>
      </c>
      <c r="C5" s="717"/>
      <c r="D5" s="718"/>
      <c r="E5" s="718"/>
      <c r="F5" s="718"/>
      <c r="G5" s="726"/>
      <c r="H5" s="525"/>
      <c r="I5" s="527"/>
      <c r="J5" s="527"/>
      <c r="K5" s="527"/>
      <c r="L5" s="527"/>
      <c r="M5" s="527"/>
      <c r="N5" s="527"/>
      <c r="O5" s="527"/>
      <c r="P5" s="527"/>
      <c r="Q5" s="527"/>
      <c r="R5" s="527"/>
      <c r="S5" s="527"/>
      <c r="T5" s="527"/>
      <c r="U5" s="527"/>
      <c r="V5" s="527"/>
      <c r="W5" s="527"/>
      <c r="X5" s="527"/>
      <c r="Y5" s="527"/>
      <c r="Z5" s="527"/>
      <c r="AA5" s="527"/>
      <c r="AB5" s="527"/>
      <c r="AC5" s="527"/>
      <c r="AD5" s="527"/>
      <c r="AE5" s="527"/>
      <c r="AF5" s="527"/>
      <c r="AG5" s="527"/>
      <c r="AH5" s="527"/>
      <c r="AI5" s="527"/>
      <c r="AJ5" s="527"/>
      <c r="AK5" s="527"/>
      <c r="AL5" s="527"/>
      <c r="AM5" s="527"/>
      <c r="AN5" s="527"/>
      <c r="AO5" s="527"/>
      <c r="AP5" s="527"/>
      <c r="AQ5" s="527"/>
      <c r="AR5" s="527"/>
      <c r="AS5" s="527"/>
      <c r="AT5" s="527"/>
      <c r="AU5" s="527"/>
      <c r="AV5" s="527"/>
      <c r="AW5" s="527"/>
      <c r="AX5" s="527"/>
      <c r="AY5" s="527"/>
      <c r="AZ5" s="527"/>
      <c r="BA5" s="527"/>
      <c r="BB5" s="527"/>
      <c r="BC5" s="527"/>
      <c r="BD5" s="527"/>
      <c r="BE5" s="527"/>
      <c r="BF5" s="527"/>
      <c r="BG5" s="527"/>
      <c r="BH5" s="527"/>
      <c r="BI5" s="527"/>
      <c r="BJ5" s="527"/>
      <c r="BK5" s="527"/>
      <c r="BL5" s="527"/>
      <c r="BM5" s="527"/>
      <c r="BN5" s="527"/>
      <c r="BO5" s="527"/>
      <c r="BP5" s="527"/>
      <c r="BQ5" s="527"/>
      <c r="BR5" s="527"/>
      <c r="BS5" s="527"/>
      <c r="BT5" s="527"/>
      <c r="BU5" s="527"/>
      <c r="BV5" s="527"/>
      <c r="BW5" s="527"/>
      <c r="BX5" s="527"/>
      <c r="BY5" s="527"/>
      <c r="BZ5" s="527"/>
      <c r="CA5" s="527"/>
      <c r="CB5" s="527"/>
      <c r="CC5" s="527"/>
    </row>
    <row r="6" spans="1:81" s="2" customFormat="1" ht="21">
      <c r="A6" s="527"/>
      <c r="B6" s="716" t="s">
        <v>229</v>
      </c>
      <c r="C6" s="717"/>
      <c r="D6" s="718"/>
      <c r="E6" s="718"/>
      <c r="F6" s="718"/>
      <c r="G6" s="726"/>
      <c r="H6" s="525"/>
      <c r="I6" s="527"/>
      <c r="J6" s="527"/>
      <c r="K6" s="527"/>
      <c r="L6" s="527"/>
      <c r="M6" s="527"/>
      <c r="N6" s="527"/>
      <c r="O6" s="527"/>
      <c r="P6" s="527"/>
      <c r="Q6" s="527"/>
      <c r="R6" s="527"/>
      <c r="S6" s="527"/>
      <c r="T6" s="527"/>
      <c r="U6" s="527"/>
      <c r="V6" s="527"/>
      <c r="W6" s="527"/>
      <c r="X6" s="527"/>
      <c r="Y6" s="527"/>
      <c r="Z6" s="527"/>
      <c r="AA6" s="527"/>
      <c r="AB6" s="527"/>
      <c r="AC6" s="527"/>
      <c r="AD6" s="527"/>
      <c r="AE6" s="527"/>
      <c r="AF6" s="527"/>
      <c r="AG6" s="527"/>
      <c r="AH6" s="527"/>
      <c r="AI6" s="527"/>
      <c r="AJ6" s="527"/>
      <c r="AK6" s="527"/>
      <c r="AL6" s="527"/>
      <c r="AM6" s="527"/>
      <c r="AN6" s="527"/>
      <c r="AO6" s="527"/>
      <c r="AP6" s="527"/>
      <c r="AQ6" s="527"/>
      <c r="AR6" s="527"/>
      <c r="AS6" s="527"/>
      <c r="AT6" s="527"/>
      <c r="AU6" s="527"/>
      <c r="AV6" s="527"/>
      <c r="AW6" s="527"/>
      <c r="AX6" s="527"/>
      <c r="AY6" s="527"/>
      <c r="AZ6" s="527"/>
      <c r="BA6" s="527"/>
      <c r="BB6" s="527"/>
      <c r="BC6" s="527"/>
      <c r="BD6" s="527"/>
      <c r="BE6" s="527"/>
      <c r="BF6" s="527"/>
      <c r="BG6" s="527"/>
      <c r="BH6" s="527"/>
      <c r="BI6" s="527"/>
      <c r="BJ6" s="527"/>
      <c r="BK6" s="527"/>
      <c r="BL6" s="527"/>
      <c r="BM6" s="527"/>
      <c r="BN6" s="527"/>
      <c r="BO6" s="527"/>
      <c r="BP6" s="527"/>
      <c r="BQ6" s="527"/>
      <c r="BR6" s="527"/>
      <c r="BS6" s="527"/>
      <c r="BT6" s="527"/>
      <c r="BU6" s="527"/>
      <c r="BV6" s="527"/>
      <c r="BW6" s="527"/>
      <c r="BX6" s="527"/>
      <c r="BY6" s="527"/>
      <c r="BZ6" s="527"/>
      <c r="CA6" s="527"/>
      <c r="CB6" s="527"/>
      <c r="CC6" s="527"/>
    </row>
    <row r="7" spans="1:81" s="2" customFormat="1" ht="21">
      <c r="A7" s="527"/>
      <c r="B7" s="716" t="s">
        <v>282</v>
      </c>
      <c r="C7" s="717"/>
      <c r="D7" s="718"/>
      <c r="E7" s="718"/>
      <c r="F7" s="718"/>
      <c r="G7" s="726"/>
      <c r="H7" s="525"/>
      <c r="I7" s="527"/>
      <c r="J7" s="527"/>
      <c r="K7" s="527"/>
      <c r="L7" s="527"/>
      <c r="M7" s="527"/>
      <c r="N7" s="527"/>
      <c r="O7" s="527"/>
      <c r="P7" s="527"/>
      <c r="Q7" s="527"/>
      <c r="R7" s="527"/>
      <c r="S7" s="527"/>
      <c r="T7" s="527"/>
      <c r="U7" s="527"/>
      <c r="V7" s="527"/>
      <c r="W7" s="527"/>
      <c r="X7" s="527"/>
      <c r="Y7" s="527"/>
      <c r="Z7" s="527"/>
      <c r="AA7" s="527"/>
      <c r="AB7" s="527"/>
      <c r="AC7" s="527"/>
      <c r="AD7" s="527"/>
      <c r="AE7" s="527"/>
      <c r="AF7" s="527"/>
      <c r="AG7" s="527"/>
      <c r="AH7" s="527"/>
      <c r="AI7" s="527"/>
      <c r="AJ7" s="527"/>
      <c r="AK7" s="527"/>
      <c r="AL7" s="527"/>
      <c r="AM7" s="527"/>
      <c r="AN7" s="527"/>
      <c r="AO7" s="527"/>
      <c r="AP7" s="527"/>
      <c r="AQ7" s="527"/>
      <c r="AR7" s="527"/>
      <c r="AS7" s="527"/>
      <c r="AT7" s="527"/>
      <c r="AU7" s="527"/>
      <c r="AV7" s="527"/>
      <c r="AW7" s="527"/>
      <c r="AX7" s="527"/>
      <c r="AY7" s="527"/>
      <c r="AZ7" s="527"/>
      <c r="BA7" s="527"/>
      <c r="BB7" s="527"/>
      <c r="BC7" s="527"/>
      <c r="BD7" s="527"/>
      <c r="BE7" s="527"/>
      <c r="BF7" s="527"/>
      <c r="BG7" s="527"/>
      <c r="BH7" s="527"/>
      <c r="BI7" s="527"/>
      <c r="BJ7" s="527"/>
      <c r="BK7" s="527"/>
      <c r="BL7" s="527"/>
      <c r="BM7" s="527"/>
      <c r="BN7" s="527"/>
      <c r="BO7" s="527"/>
      <c r="BP7" s="527"/>
      <c r="BQ7" s="527"/>
      <c r="BR7" s="527"/>
      <c r="BS7" s="527"/>
      <c r="BT7" s="527"/>
      <c r="BU7" s="527"/>
      <c r="BV7" s="527"/>
      <c r="BW7" s="527"/>
      <c r="BX7" s="527"/>
      <c r="BY7" s="527"/>
      <c r="BZ7" s="527"/>
      <c r="CA7" s="527"/>
      <c r="CB7" s="527"/>
      <c r="CC7" s="527"/>
    </row>
    <row r="8" spans="1:81" s="2" customFormat="1" ht="21">
      <c r="A8" s="527"/>
      <c r="B8" s="716" t="s">
        <v>230</v>
      </c>
      <c r="C8" s="717"/>
      <c r="D8" s="718"/>
      <c r="E8" s="718"/>
      <c r="F8" s="718"/>
      <c r="G8" s="726"/>
      <c r="H8" s="525"/>
      <c r="I8" s="527"/>
      <c r="J8" s="527"/>
      <c r="K8" s="527"/>
      <c r="L8" s="527"/>
      <c r="M8" s="527"/>
      <c r="N8" s="527"/>
      <c r="O8" s="527"/>
      <c r="P8" s="527"/>
      <c r="Q8" s="527"/>
      <c r="R8" s="527"/>
      <c r="S8" s="527"/>
      <c r="T8" s="527"/>
      <c r="U8" s="527"/>
      <c r="V8" s="527"/>
      <c r="W8" s="527"/>
      <c r="X8" s="527"/>
      <c r="Y8" s="527"/>
      <c r="Z8" s="527"/>
      <c r="AA8" s="527"/>
      <c r="AB8" s="527"/>
      <c r="AC8" s="527"/>
      <c r="AD8" s="527"/>
      <c r="AE8" s="527"/>
      <c r="AF8" s="527"/>
      <c r="AG8" s="527"/>
      <c r="AH8" s="527"/>
      <c r="AI8" s="527"/>
      <c r="AJ8" s="527"/>
      <c r="AK8" s="527"/>
      <c r="AL8" s="527"/>
      <c r="AM8" s="527"/>
      <c r="AN8" s="527"/>
      <c r="AO8" s="527"/>
      <c r="AP8" s="527"/>
      <c r="AQ8" s="527"/>
      <c r="AR8" s="527"/>
      <c r="AS8" s="527"/>
      <c r="AT8" s="527"/>
      <c r="AU8" s="527"/>
      <c r="AV8" s="527"/>
      <c r="AW8" s="527"/>
      <c r="AX8" s="527"/>
      <c r="AY8" s="527"/>
      <c r="AZ8" s="527"/>
      <c r="BA8" s="527"/>
      <c r="BB8" s="527"/>
      <c r="BC8" s="527"/>
      <c r="BD8" s="527"/>
      <c r="BE8" s="527"/>
      <c r="BF8" s="527"/>
      <c r="BG8" s="527"/>
      <c r="BH8" s="527"/>
      <c r="BI8" s="527"/>
      <c r="BJ8" s="527"/>
      <c r="BK8" s="527"/>
      <c r="BL8" s="527"/>
      <c r="BM8" s="527"/>
      <c r="BN8" s="527"/>
      <c r="BO8" s="527"/>
      <c r="BP8" s="527"/>
      <c r="BQ8" s="527"/>
      <c r="BR8" s="527"/>
      <c r="BS8" s="527"/>
      <c r="BT8" s="527"/>
      <c r="BU8" s="527"/>
      <c r="BV8" s="527"/>
      <c r="BW8" s="527"/>
      <c r="BX8" s="527"/>
      <c r="BY8" s="527"/>
      <c r="BZ8" s="527"/>
      <c r="CA8" s="527"/>
      <c r="CB8" s="527"/>
      <c r="CC8" s="527"/>
    </row>
    <row r="9" spans="1:81" s="2" customFormat="1" ht="21">
      <c r="A9" s="527"/>
      <c r="B9" s="716" t="s">
        <v>280</v>
      </c>
      <c r="C9" s="717"/>
      <c r="D9" s="718"/>
      <c r="E9" s="718"/>
      <c r="F9" s="718"/>
      <c r="G9" s="726"/>
      <c r="H9" s="525"/>
      <c r="I9" s="527"/>
      <c r="J9" s="527"/>
      <c r="K9" s="527"/>
      <c r="L9" s="527"/>
      <c r="M9" s="527"/>
      <c r="N9" s="527"/>
      <c r="O9" s="527"/>
      <c r="P9" s="527"/>
      <c r="Q9" s="527"/>
      <c r="R9" s="527"/>
      <c r="S9" s="527"/>
      <c r="T9" s="527"/>
      <c r="U9" s="527"/>
      <c r="V9" s="527"/>
      <c r="W9" s="527"/>
      <c r="X9" s="527"/>
      <c r="Y9" s="527"/>
      <c r="Z9" s="527"/>
      <c r="AA9" s="527"/>
      <c r="AB9" s="527"/>
      <c r="AC9" s="527"/>
      <c r="AD9" s="527"/>
      <c r="AE9" s="527"/>
      <c r="AF9" s="527"/>
      <c r="AG9" s="527"/>
      <c r="AH9" s="527"/>
      <c r="AI9" s="527"/>
      <c r="AJ9" s="527"/>
      <c r="AK9" s="527"/>
      <c r="AL9" s="527"/>
      <c r="AM9" s="527"/>
      <c r="AN9" s="527"/>
      <c r="AO9" s="527"/>
      <c r="AP9" s="527"/>
      <c r="AQ9" s="527"/>
      <c r="AR9" s="527"/>
      <c r="AS9" s="527"/>
      <c r="AT9" s="527"/>
      <c r="AU9" s="527"/>
      <c r="AV9" s="527"/>
      <c r="AW9" s="527"/>
      <c r="AX9" s="527"/>
      <c r="AY9" s="527"/>
      <c r="AZ9" s="527"/>
      <c r="BA9" s="527"/>
      <c r="BB9" s="527"/>
      <c r="BC9" s="527"/>
      <c r="BD9" s="527"/>
      <c r="BE9" s="527"/>
      <c r="BF9" s="527"/>
      <c r="BG9" s="527"/>
      <c r="BH9" s="527"/>
      <c r="BI9" s="527"/>
      <c r="BJ9" s="527"/>
      <c r="BK9" s="527"/>
      <c r="BL9" s="527"/>
      <c r="BM9" s="527"/>
      <c r="BN9" s="527"/>
      <c r="BO9" s="527"/>
      <c r="BP9" s="527"/>
      <c r="BQ9" s="527"/>
      <c r="BR9" s="527"/>
      <c r="BS9" s="527"/>
      <c r="BT9" s="527"/>
      <c r="BU9" s="527"/>
      <c r="BV9" s="527"/>
      <c r="BW9" s="527"/>
      <c r="BX9" s="527"/>
      <c r="BY9" s="527"/>
      <c r="BZ9" s="527"/>
      <c r="CA9" s="527"/>
      <c r="CB9" s="527"/>
      <c r="CC9" s="527"/>
    </row>
    <row r="10" spans="1:81" s="2" customFormat="1" ht="21.75" thickBot="1">
      <c r="A10" s="527"/>
      <c r="B10" s="719"/>
      <c r="C10" s="720"/>
      <c r="D10" s="721"/>
      <c r="E10" s="721"/>
      <c r="F10" s="721"/>
      <c r="G10" s="727"/>
      <c r="H10" s="525"/>
      <c r="I10" s="527"/>
      <c r="J10" s="527"/>
      <c r="K10" s="527"/>
      <c r="L10" s="527"/>
      <c r="M10" s="527"/>
      <c r="N10" s="527"/>
      <c r="O10" s="527"/>
      <c r="P10" s="527"/>
      <c r="Q10" s="527"/>
      <c r="R10" s="527"/>
      <c r="S10" s="527"/>
      <c r="T10" s="527"/>
      <c r="U10" s="527"/>
      <c r="V10" s="527"/>
      <c r="W10" s="527"/>
      <c r="X10" s="527"/>
      <c r="Y10" s="527"/>
      <c r="Z10" s="527"/>
      <c r="AA10" s="527"/>
      <c r="AB10" s="527"/>
      <c r="AC10" s="527"/>
      <c r="AD10" s="527"/>
      <c r="AE10" s="527"/>
      <c r="AF10" s="527"/>
      <c r="AG10" s="527"/>
      <c r="AH10" s="527"/>
      <c r="AI10" s="527"/>
      <c r="AJ10" s="527"/>
      <c r="AK10" s="527"/>
      <c r="AL10" s="527"/>
      <c r="AM10" s="527"/>
      <c r="AN10" s="527"/>
      <c r="AO10" s="527"/>
      <c r="AP10" s="527"/>
      <c r="AQ10" s="527"/>
      <c r="AR10" s="527"/>
      <c r="AS10" s="527"/>
      <c r="AT10" s="527"/>
      <c r="AU10" s="527"/>
      <c r="AV10" s="527"/>
      <c r="AW10" s="527"/>
      <c r="AX10" s="527"/>
      <c r="AY10" s="527"/>
      <c r="AZ10" s="527"/>
      <c r="BA10" s="527"/>
      <c r="BB10" s="527"/>
      <c r="BC10" s="527"/>
      <c r="BD10" s="527"/>
      <c r="BE10" s="527"/>
      <c r="BF10" s="527"/>
      <c r="BG10" s="527"/>
      <c r="BH10" s="527"/>
      <c r="BI10" s="527"/>
      <c r="BJ10" s="527"/>
      <c r="BK10" s="527"/>
      <c r="BL10" s="527"/>
      <c r="BM10" s="527"/>
      <c r="BN10" s="527"/>
      <c r="BO10" s="527"/>
      <c r="BP10" s="527"/>
      <c r="BQ10" s="527"/>
      <c r="BR10" s="527"/>
      <c r="BS10" s="527"/>
      <c r="BT10" s="527"/>
      <c r="BU10" s="527"/>
      <c r="BV10" s="527"/>
      <c r="BW10" s="527"/>
      <c r="BX10" s="527"/>
      <c r="BY10" s="527"/>
      <c r="BZ10" s="527"/>
      <c r="CA10" s="527"/>
      <c r="CB10" s="527"/>
      <c r="CC10" s="527"/>
    </row>
    <row r="11" spans="1:81" s="27" customFormat="1" ht="15.75" thickBot="1">
      <c r="C11" s="703"/>
      <c r="H11" s="200"/>
    </row>
    <row r="12" spans="1:81">
      <c r="B12" s="302" t="s">
        <v>28</v>
      </c>
      <c r="C12" s="303" t="s">
        <v>33</v>
      </c>
      <c r="D12" s="304" t="s">
        <v>38</v>
      </c>
      <c r="E12" s="304" t="s">
        <v>40</v>
      </c>
      <c r="F12" s="305" t="s">
        <v>42</v>
      </c>
      <c r="G12" s="722"/>
      <c r="H12" s="27"/>
      <c r="I12" s="27"/>
      <c r="J12" s="27"/>
      <c r="K12" s="27"/>
      <c r="L12" s="27"/>
      <c r="M12" s="27"/>
      <c r="N12" s="27"/>
      <c r="O12" s="27"/>
      <c r="P12" s="27"/>
      <c r="Q12" s="27"/>
      <c r="R12" s="27"/>
      <c r="S12" s="27"/>
      <c r="T12" s="27"/>
      <c r="U12" s="27"/>
      <c r="V12" s="27"/>
      <c r="W12" s="27"/>
      <c r="X12" s="27"/>
      <c r="Y12" s="27"/>
      <c r="Z12" s="27"/>
      <c r="AA12" s="27"/>
      <c r="AB12" s="27"/>
      <c r="AC12" s="27"/>
      <c r="AD12" s="27"/>
    </row>
    <row r="13" spans="1:81">
      <c r="B13" s="306" t="s">
        <v>29</v>
      </c>
      <c r="C13" s="307" t="s">
        <v>33</v>
      </c>
      <c r="D13" s="308" t="s">
        <v>39</v>
      </c>
      <c r="E13" s="308" t="s">
        <v>40</v>
      </c>
      <c r="F13" s="309" t="s">
        <v>40</v>
      </c>
      <c r="G13" s="722"/>
      <c r="H13" s="27"/>
      <c r="I13" s="27"/>
      <c r="J13" s="27"/>
      <c r="K13" s="27"/>
      <c r="L13" s="27"/>
      <c r="M13" s="27"/>
      <c r="N13" s="27"/>
      <c r="O13" s="27"/>
      <c r="P13" s="27"/>
      <c r="Q13" s="27"/>
      <c r="R13" s="27"/>
      <c r="S13" s="27"/>
      <c r="T13" s="27"/>
      <c r="U13" s="27"/>
      <c r="V13" s="27"/>
      <c r="W13" s="27"/>
      <c r="X13" s="27"/>
      <c r="Y13" s="27"/>
      <c r="Z13" s="27"/>
      <c r="AA13" s="27"/>
      <c r="AB13" s="27"/>
      <c r="AC13" s="27"/>
      <c r="AD13" s="27"/>
    </row>
    <row r="14" spans="1:81">
      <c r="B14" s="306" t="s">
        <v>30</v>
      </c>
      <c r="C14" s="307" t="s">
        <v>34</v>
      </c>
      <c r="D14" s="308" t="s">
        <v>34</v>
      </c>
      <c r="E14" s="308" t="s">
        <v>34</v>
      </c>
      <c r="F14" s="309" t="s">
        <v>34</v>
      </c>
      <c r="G14" s="722"/>
      <c r="H14" s="27"/>
      <c r="I14" s="27"/>
      <c r="J14" s="27"/>
      <c r="K14" s="27"/>
      <c r="L14" s="27"/>
      <c r="M14" s="27"/>
      <c r="N14" s="27"/>
      <c r="O14" s="27"/>
      <c r="P14" s="27"/>
      <c r="Q14" s="27"/>
      <c r="R14" s="27"/>
      <c r="S14" s="27"/>
      <c r="T14" s="27"/>
      <c r="U14" s="27"/>
      <c r="V14" s="27"/>
      <c r="W14" s="27"/>
      <c r="X14" s="27"/>
      <c r="Y14" s="27"/>
      <c r="Z14" s="27"/>
      <c r="AA14" s="27"/>
      <c r="AB14" s="27"/>
      <c r="AC14" s="27"/>
      <c r="AD14" s="27"/>
    </row>
    <row r="15" spans="1:81">
      <c r="B15" s="306" t="s">
        <v>35</v>
      </c>
      <c r="C15" s="307" t="s">
        <v>36</v>
      </c>
      <c r="D15" s="308" t="s">
        <v>36</v>
      </c>
      <c r="E15" s="308" t="s">
        <v>34</v>
      </c>
      <c r="F15" s="309" t="s">
        <v>34</v>
      </c>
      <c r="G15" s="722"/>
      <c r="H15" s="27"/>
      <c r="I15" s="27"/>
      <c r="J15" s="27"/>
      <c r="K15" s="27"/>
      <c r="L15" s="27"/>
      <c r="M15" s="27"/>
      <c r="N15" s="27"/>
      <c r="O15" s="27"/>
      <c r="P15" s="27"/>
      <c r="Q15" s="27"/>
      <c r="R15" s="27"/>
      <c r="S15" s="27"/>
      <c r="T15" s="27"/>
      <c r="U15" s="27"/>
      <c r="V15" s="27"/>
      <c r="W15" s="27"/>
      <c r="X15" s="27"/>
      <c r="Y15" s="27"/>
      <c r="Z15" s="27"/>
      <c r="AA15" s="27"/>
      <c r="AB15" s="27"/>
      <c r="AC15" s="27"/>
      <c r="AD15" s="27"/>
    </row>
    <row r="16" spans="1:81">
      <c r="B16" s="306" t="s">
        <v>31</v>
      </c>
      <c r="C16" s="307" t="s">
        <v>36</v>
      </c>
      <c r="D16" s="308" t="s">
        <v>34</v>
      </c>
      <c r="E16" s="308" t="s">
        <v>34</v>
      </c>
      <c r="F16" s="309" t="s">
        <v>34</v>
      </c>
      <c r="G16" s="722"/>
      <c r="H16" s="27"/>
      <c r="I16" s="27"/>
      <c r="J16" s="27"/>
      <c r="K16" s="27"/>
      <c r="L16" s="27"/>
      <c r="M16" s="27"/>
      <c r="N16" s="27"/>
      <c r="O16" s="27"/>
      <c r="P16" s="27"/>
      <c r="Q16" s="27"/>
      <c r="R16" s="27"/>
      <c r="S16" s="27"/>
      <c r="T16" s="27"/>
      <c r="U16" s="27"/>
      <c r="V16" s="27"/>
      <c r="W16" s="27"/>
      <c r="X16" s="27"/>
      <c r="Y16" s="27"/>
      <c r="Z16" s="27"/>
      <c r="AA16" s="27"/>
      <c r="AB16" s="27"/>
      <c r="AC16" s="27"/>
      <c r="AD16" s="27"/>
    </row>
    <row r="17" spans="1:81" ht="15.75" thickBot="1">
      <c r="B17" s="310" t="s">
        <v>32</v>
      </c>
      <c r="C17" s="311" t="s">
        <v>37</v>
      </c>
      <c r="D17" s="312" t="s">
        <v>37</v>
      </c>
      <c r="E17" s="312" t="s">
        <v>41</v>
      </c>
      <c r="F17" s="313" t="s">
        <v>41</v>
      </c>
      <c r="G17" s="722"/>
      <c r="H17" s="438" t="s">
        <v>152</v>
      </c>
      <c r="I17" s="439"/>
      <c r="J17" s="439"/>
      <c r="K17" s="27"/>
      <c r="L17" s="27"/>
      <c r="M17" s="27"/>
      <c r="N17" s="27"/>
      <c r="O17" s="27"/>
      <c r="P17" s="27"/>
      <c r="Q17" s="27"/>
      <c r="R17" s="27"/>
      <c r="S17" s="27"/>
      <c r="T17" s="438" t="s">
        <v>228</v>
      </c>
      <c r="U17" s="439"/>
      <c r="V17" s="439"/>
      <c r="W17" s="439"/>
      <c r="X17" s="27"/>
      <c r="Y17" s="27"/>
      <c r="Z17" s="27"/>
      <c r="AA17" s="27"/>
      <c r="AB17" s="27"/>
      <c r="AC17" s="27"/>
      <c r="AD17" s="27"/>
    </row>
    <row r="18" spans="1:81" ht="15.75" thickBot="1">
      <c r="B18" s="314" t="s">
        <v>76</v>
      </c>
      <c r="C18" s="315">
        <v>950</v>
      </c>
      <c r="D18" s="315">
        <v>1400</v>
      </c>
      <c r="E18" s="315">
        <v>2100</v>
      </c>
      <c r="F18" s="316">
        <v>2800</v>
      </c>
      <c r="G18" s="706"/>
      <c r="H18" s="27"/>
      <c r="I18" s="704"/>
      <c r="J18" s="27"/>
      <c r="K18" s="27"/>
      <c r="L18" s="27"/>
      <c r="M18" s="27"/>
      <c r="N18" s="27"/>
      <c r="O18" s="27"/>
      <c r="P18" s="27"/>
      <c r="Q18" s="27"/>
      <c r="R18" s="27"/>
      <c r="S18" s="27"/>
      <c r="T18" s="27"/>
      <c r="U18" s="27"/>
      <c r="V18" s="27"/>
      <c r="W18" s="27"/>
      <c r="X18" s="27"/>
      <c r="Y18" s="27"/>
      <c r="Z18" s="27"/>
      <c r="AA18" s="27"/>
      <c r="AB18" s="27"/>
      <c r="AC18" s="27"/>
      <c r="AD18" s="27"/>
    </row>
    <row r="19" spans="1:81" ht="15.75" thickBot="1">
      <c r="B19" s="306" t="s">
        <v>0</v>
      </c>
      <c r="C19" s="317"/>
      <c r="D19" s="318"/>
      <c r="E19" s="318"/>
      <c r="F19" s="723"/>
      <c r="G19" s="200"/>
      <c r="H19" s="433" t="s">
        <v>52</v>
      </c>
      <c r="I19" s="434" t="s">
        <v>48</v>
      </c>
      <c r="J19" s="434" t="s">
        <v>53</v>
      </c>
      <c r="K19" s="434" t="s">
        <v>54</v>
      </c>
      <c r="L19" s="435" t="s">
        <v>145</v>
      </c>
      <c r="M19" s="435" t="s">
        <v>146</v>
      </c>
      <c r="N19" s="435" t="s">
        <v>147</v>
      </c>
      <c r="O19" s="435" t="s">
        <v>148</v>
      </c>
      <c r="P19" s="435" t="s">
        <v>151</v>
      </c>
      <c r="Q19" s="435" t="s">
        <v>149</v>
      </c>
      <c r="R19" s="436" t="s">
        <v>150</v>
      </c>
      <c r="S19" s="27"/>
      <c r="T19" s="433" t="s">
        <v>52</v>
      </c>
      <c r="U19" s="434" t="s">
        <v>48</v>
      </c>
      <c r="V19" s="434" t="s">
        <v>53</v>
      </c>
      <c r="W19" s="434" t="s">
        <v>54</v>
      </c>
      <c r="X19" s="435" t="s">
        <v>145</v>
      </c>
      <c r="Y19" s="435" t="s">
        <v>146</v>
      </c>
      <c r="Z19" s="435" t="s">
        <v>147</v>
      </c>
      <c r="AA19" s="435" t="s">
        <v>148</v>
      </c>
      <c r="AB19" s="435" t="s">
        <v>151</v>
      </c>
      <c r="AC19" s="435" t="s">
        <v>149</v>
      </c>
      <c r="AD19" s="436" t="s">
        <v>150</v>
      </c>
    </row>
    <row r="20" spans="1:81">
      <c r="B20" s="314" t="s">
        <v>27</v>
      </c>
      <c r="C20" s="317">
        <v>1700</v>
      </c>
      <c r="D20" s="315">
        <v>2600</v>
      </c>
      <c r="E20" s="317">
        <v>3800</v>
      </c>
      <c r="F20" s="724">
        <v>5200</v>
      </c>
      <c r="G20" s="705"/>
      <c r="H20" s="537">
        <v>99.687723811699925</v>
      </c>
      <c r="I20" s="538">
        <v>90.472333557321619</v>
      </c>
      <c r="J20" s="538">
        <v>68.901200247116265</v>
      </c>
      <c r="K20" s="538">
        <v>61.525451911870753</v>
      </c>
      <c r="L20" s="429">
        <f>H20/H$47</f>
        <v>1.3261982699735175E-2</v>
      </c>
      <c r="M20" s="429">
        <f t="shared" ref="M20:O35" si="0">I20/I$47</f>
        <v>1.3606521178028174E-2</v>
      </c>
      <c r="N20" s="429">
        <f t="shared" si="0"/>
        <v>1.4886998453968655E-2</v>
      </c>
      <c r="O20" s="429">
        <f t="shared" si="0"/>
        <v>1.4837480450045043E-2</v>
      </c>
      <c r="P20" s="429">
        <f>AVERAGE(L20:O20)</f>
        <v>1.4148245695444261E-2</v>
      </c>
      <c r="Q20" s="538">
        <f>P20*C20</f>
        <v>24.052017682255244</v>
      </c>
      <c r="R20" s="541">
        <f t="shared" ref="R20:R46" si="1">P20*F20</f>
        <v>73.570877616310156</v>
      </c>
      <c r="S20" s="27"/>
      <c r="T20" s="537">
        <v>1987.2367276732346</v>
      </c>
      <c r="U20" s="538">
        <v>1851.9583916012662</v>
      </c>
      <c r="V20" s="538">
        <v>1576.4792553560083</v>
      </c>
      <c r="W20" s="538">
        <v>940.79556347314292</v>
      </c>
      <c r="X20" s="429">
        <f>T20/T$47</f>
        <v>1.5305746391071115E-2</v>
      </c>
      <c r="Y20" s="429">
        <f t="shared" ref="Y20:Y46" si="2">U20/U$47</f>
        <v>1.5682507703320425E-2</v>
      </c>
      <c r="Z20" s="429">
        <f t="shared" ref="Z20:Z46" si="3">V20/V$47</f>
        <v>1.6794598872628144E-2</v>
      </c>
      <c r="AA20" s="429">
        <f t="shared" ref="AA20:AA46" si="4">W20/W$47</f>
        <v>1.6042227167822345E-2</v>
      </c>
      <c r="AB20" s="437">
        <f>AVERAGE(X20:AA20)</f>
        <v>1.5956270033710508E-2</v>
      </c>
      <c r="AC20" s="429">
        <f>AB20*C20</f>
        <v>27.125659057307864</v>
      </c>
      <c r="AD20" s="430">
        <f>AB20*F20</f>
        <v>82.972604175294649</v>
      </c>
    </row>
    <row r="21" spans="1:81">
      <c r="B21" s="314" t="s">
        <v>1</v>
      </c>
      <c r="C21" s="317">
        <v>2500</v>
      </c>
      <c r="D21" s="315">
        <v>3500</v>
      </c>
      <c r="E21" s="317">
        <v>5300</v>
      </c>
      <c r="F21" s="724">
        <v>7100</v>
      </c>
      <c r="G21" s="705"/>
      <c r="H21" s="537">
        <v>134.87579303383569</v>
      </c>
      <c r="I21" s="538">
        <v>121.43503855846039</v>
      </c>
      <c r="J21" s="538">
        <v>90.856817043338637</v>
      </c>
      <c r="K21" s="538">
        <v>82.644343101328985</v>
      </c>
      <c r="L21" s="429">
        <f t="shared" ref="L21:L46" si="5">H21/H$47</f>
        <v>1.7943236794196481E-2</v>
      </c>
      <c r="M21" s="429">
        <f t="shared" si="0"/>
        <v>1.8263134805221827E-2</v>
      </c>
      <c r="N21" s="429">
        <f t="shared" si="0"/>
        <v>1.9630794383923744E-2</v>
      </c>
      <c r="O21" s="429">
        <f t="shared" si="0"/>
        <v>1.9930513096096308E-2</v>
      </c>
      <c r="P21" s="429">
        <f t="shared" ref="P21:P46" si="6">AVERAGE(L21:O21)</f>
        <v>1.8941919769859591E-2</v>
      </c>
      <c r="Q21" s="538">
        <f t="shared" ref="Q21:Q46" si="7">P21*C21</f>
        <v>47.354799424648974</v>
      </c>
      <c r="R21" s="541">
        <f t="shared" si="1"/>
        <v>134.48763036600309</v>
      </c>
      <c r="S21" s="27"/>
      <c r="T21" s="537">
        <v>1733.0380271162066</v>
      </c>
      <c r="U21" s="538">
        <v>1602.7504024052191</v>
      </c>
      <c r="V21" s="538">
        <v>1322.6042844877149</v>
      </c>
      <c r="W21" s="538">
        <v>896.86797590746994</v>
      </c>
      <c r="X21" s="429">
        <f t="shared" ref="X21:X46" si="8">T21/T$47</f>
        <v>1.3347901716863054E-2</v>
      </c>
      <c r="Y21" s="429">
        <f t="shared" si="2"/>
        <v>1.3572197758982617E-2</v>
      </c>
      <c r="Z21" s="429">
        <f t="shared" si="3"/>
        <v>1.4090009969826322E-2</v>
      </c>
      <c r="AA21" s="429">
        <f t="shared" si="4"/>
        <v>1.5293184159943567E-2</v>
      </c>
      <c r="AB21" s="429">
        <f t="shared" ref="AB21:AB46" si="9">AVERAGE(X21:AA21)</f>
        <v>1.407582340140389E-2</v>
      </c>
      <c r="AC21" s="429">
        <f t="shared" ref="AC21:AC46" si="10">AB21*C21</f>
        <v>35.189558503509723</v>
      </c>
      <c r="AD21" s="430">
        <f t="shared" ref="AD21:AD46" si="11">AB21*F21</f>
        <v>99.938346149967629</v>
      </c>
    </row>
    <row r="22" spans="1:81">
      <c r="B22" s="314" t="s">
        <v>2</v>
      </c>
      <c r="C22" s="315">
        <v>950</v>
      </c>
      <c r="D22" s="315">
        <v>1400</v>
      </c>
      <c r="E22" s="315">
        <v>2100</v>
      </c>
      <c r="F22" s="316">
        <v>2800</v>
      </c>
      <c r="G22" s="706"/>
      <c r="H22" s="537">
        <v>71.933688702544913</v>
      </c>
      <c r="I22" s="538">
        <v>63.840976813683007</v>
      </c>
      <c r="J22" s="538">
        <v>44.018728981450927</v>
      </c>
      <c r="K22" s="538">
        <v>40.695524312056556</v>
      </c>
      <c r="L22" s="429">
        <f t="shared" si="5"/>
        <v>9.5697172994266035E-3</v>
      </c>
      <c r="M22" s="429">
        <f t="shared" si="0"/>
        <v>9.6013175396987005E-3</v>
      </c>
      <c r="N22" s="429">
        <f t="shared" si="0"/>
        <v>9.510817633687765E-3</v>
      </c>
      <c r="O22" s="429">
        <f t="shared" si="0"/>
        <v>9.8141342748588687E-3</v>
      </c>
      <c r="P22" s="429">
        <f t="shared" si="6"/>
        <v>9.6239966869179835E-3</v>
      </c>
      <c r="Q22" s="538">
        <f t="shared" si="7"/>
        <v>9.1427968525720846</v>
      </c>
      <c r="R22" s="541">
        <f t="shared" si="1"/>
        <v>26.947190723370355</v>
      </c>
      <c r="S22" s="27"/>
      <c r="T22" s="537">
        <v>924.16551398659976</v>
      </c>
      <c r="U22" s="538">
        <v>850.51194727595202</v>
      </c>
      <c r="V22" s="538">
        <v>682.6107121335175</v>
      </c>
      <c r="W22" s="538">
        <v>399.61517118160856</v>
      </c>
      <c r="X22" s="429">
        <f t="shared" si="8"/>
        <v>7.1179456294643726E-3</v>
      </c>
      <c r="Y22" s="429">
        <f t="shared" si="2"/>
        <v>7.2021921363948924E-3</v>
      </c>
      <c r="Z22" s="429">
        <f t="shared" si="3"/>
        <v>7.2720101184284682E-3</v>
      </c>
      <c r="AA22" s="429">
        <f t="shared" si="4"/>
        <v>6.8141449691121831E-3</v>
      </c>
      <c r="AB22" s="429">
        <f t="shared" si="9"/>
        <v>7.1015732133499791E-3</v>
      </c>
      <c r="AC22" s="429">
        <f t="shared" si="10"/>
        <v>6.7464945526824804</v>
      </c>
      <c r="AD22" s="430">
        <f t="shared" si="11"/>
        <v>19.884404997379942</v>
      </c>
    </row>
    <row r="23" spans="1:81">
      <c r="B23" s="314" t="s">
        <v>3</v>
      </c>
      <c r="C23" s="315">
        <v>950</v>
      </c>
      <c r="D23" s="315">
        <v>1400</v>
      </c>
      <c r="E23" s="315">
        <v>2100</v>
      </c>
      <c r="F23" s="316">
        <v>2800</v>
      </c>
      <c r="G23" s="706"/>
      <c r="H23" s="537">
        <v>30.456093128211307</v>
      </c>
      <c r="I23" s="538">
        <v>25.687251178975522</v>
      </c>
      <c r="J23" s="538">
        <v>14.178054028923643</v>
      </c>
      <c r="K23" s="538">
        <v>13.040093166285397</v>
      </c>
      <c r="L23" s="429">
        <f t="shared" si="5"/>
        <v>4.0517344034337027E-3</v>
      </c>
      <c r="M23" s="429">
        <f t="shared" si="0"/>
        <v>3.8632155646854609E-3</v>
      </c>
      <c r="N23" s="429">
        <f t="shared" si="0"/>
        <v>3.0633525635528278E-3</v>
      </c>
      <c r="O23" s="429">
        <f t="shared" si="0"/>
        <v>3.1447493908483585E-3</v>
      </c>
      <c r="P23" s="429">
        <f t="shared" si="6"/>
        <v>3.5307629806300873E-3</v>
      </c>
      <c r="Q23" s="538">
        <f t="shared" si="7"/>
        <v>3.3542248315985828</v>
      </c>
      <c r="R23" s="541">
        <f t="shared" si="1"/>
        <v>9.8861363457642444</v>
      </c>
      <c r="S23" s="27"/>
      <c r="T23" s="537">
        <v>708.19880315933676</v>
      </c>
      <c r="U23" s="538">
        <v>618.92750500867669</v>
      </c>
      <c r="V23" s="538">
        <v>421.17741345479016</v>
      </c>
      <c r="W23" s="538">
        <v>292.04194736914366</v>
      </c>
      <c r="X23" s="429">
        <f t="shared" si="8"/>
        <v>5.4545646850581277E-3</v>
      </c>
      <c r="Y23" s="429">
        <f t="shared" si="2"/>
        <v>5.2411195678662278E-3</v>
      </c>
      <c r="Z23" s="429">
        <f t="shared" si="3"/>
        <v>4.4869005977416958E-3</v>
      </c>
      <c r="AA23" s="429">
        <f t="shared" si="4"/>
        <v>4.9798313726452477E-3</v>
      </c>
      <c r="AB23" s="429">
        <f t="shared" si="9"/>
        <v>5.0406040558278247E-3</v>
      </c>
      <c r="AC23" s="429">
        <f t="shared" si="10"/>
        <v>4.7885738530364339</v>
      </c>
      <c r="AD23" s="430">
        <f t="shared" si="11"/>
        <v>14.11369135631791</v>
      </c>
    </row>
    <row r="24" spans="1:81">
      <c r="B24" s="314" t="s">
        <v>4</v>
      </c>
      <c r="C24" s="317">
        <v>1000</v>
      </c>
      <c r="D24" s="315">
        <v>1400</v>
      </c>
      <c r="E24" s="317">
        <v>2300</v>
      </c>
      <c r="F24" s="724">
        <v>3000</v>
      </c>
      <c r="G24" s="705"/>
      <c r="H24" s="537">
        <v>207.39238608344206</v>
      </c>
      <c r="I24" s="538">
        <v>188.12618417570212</v>
      </c>
      <c r="J24" s="538">
        <v>141.56107596409106</v>
      </c>
      <c r="K24" s="538">
        <v>123.49455421899896</v>
      </c>
      <c r="L24" s="429">
        <f t="shared" si="5"/>
        <v>2.7590500927583621E-2</v>
      </c>
      <c r="M24" s="429">
        <f t="shared" si="0"/>
        <v>2.8293101420961062E-2</v>
      </c>
      <c r="N24" s="429">
        <f t="shared" si="0"/>
        <v>3.0586107520061166E-2</v>
      </c>
      <c r="O24" s="429">
        <f t="shared" si="0"/>
        <v>2.9781951647199364E-2</v>
      </c>
      <c r="P24" s="429">
        <f t="shared" si="6"/>
        <v>2.9062915378951303E-2</v>
      </c>
      <c r="Q24" s="538">
        <f t="shared" si="7"/>
        <v>29.062915378951303</v>
      </c>
      <c r="R24" s="541">
        <f t="shared" si="1"/>
        <v>87.188746136853908</v>
      </c>
      <c r="S24" s="27"/>
      <c r="T24" s="537">
        <v>2790.2574745168981</v>
      </c>
      <c r="U24" s="538">
        <v>2611.3343686355911</v>
      </c>
      <c r="V24" s="538">
        <v>2215.126226028869</v>
      </c>
      <c r="W24" s="538">
        <v>1236.0577623360207</v>
      </c>
      <c r="X24" s="429">
        <f t="shared" si="8"/>
        <v>2.1490632029909126E-2</v>
      </c>
      <c r="Y24" s="429">
        <f t="shared" si="2"/>
        <v>2.2112954339467802E-2</v>
      </c>
      <c r="Z24" s="429">
        <f t="shared" si="3"/>
        <v>2.3598253064225898E-2</v>
      </c>
      <c r="AA24" s="429">
        <f t="shared" si="4"/>
        <v>2.1076969520074353E-2</v>
      </c>
      <c r="AB24" s="429">
        <f t="shared" si="9"/>
        <v>2.2069702238419295E-2</v>
      </c>
      <c r="AC24" s="429">
        <f t="shared" si="10"/>
        <v>22.069702238419296</v>
      </c>
      <c r="AD24" s="430">
        <f t="shared" si="11"/>
        <v>66.209106715257889</v>
      </c>
    </row>
    <row r="25" spans="1:81">
      <c r="B25" s="314" t="s">
        <v>5</v>
      </c>
      <c r="C25" s="317">
        <v>720</v>
      </c>
      <c r="D25" s="315">
        <v>970</v>
      </c>
      <c r="E25" s="317">
        <v>1600</v>
      </c>
      <c r="F25" s="724">
        <v>2000</v>
      </c>
      <c r="G25" s="705"/>
      <c r="H25" s="537">
        <v>75.319606333986229</v>
      </c>
      <c r="I25" s="538">
        <v>67.644398124695883</v>
      </c>
      <c r="J25" s="538">
        <v>50.930597374285661</v>
      </c>
      <c r="K25" s="538">
        <v>46.479608210224548</v>
      </c>
      <c r="L25" s="429">
        <f t="shared" si="5"/>
        <v>1.0020163746932239E-2</v>
      </c>
      <c r="M25" s="429">
        <f t="shared" si="0"/>
        <v>1.017333033722947E-2</v>
      </c>
      <c r="N25" s="429">
        <f t="shared" si="0"/>
        <v>1.1004216496249265E-2</v>
      </c>
      <c r="O25" s="429">
        <f t="shared" si="0"/>
        <v>1.1209024179664745E-2</v>
      </c>
      <c r="P25" s="429">
        <f t="shared" si="6"/>
        <v>1.060168369001893E-2</v>
      </c>
      <c r="Q25" s="538">
        <f t="shared" si="7"/>
        <v>7.6332122568136294</v>
      </c>
      <c r="R25" s="541">
        <f t="shared" si="1"/>
        <v>21.203367380037861</v>
      </c>
      <c r="S25" s="27"/>
      <c r="T25" s="537">
        <v>1530.892917128177</v>
      </c>
      <c r="U25" s="538">
        <v>1413.2634681442883</v>
      </c>
      <c r="V25" s="538">
        <v>1179.9076044572703</v>
      </c>
      <c r="W25" s="538">
        <v>815.33520995588242</v>
      </c>
      <c r="X25" s="429">
        <f t="shared" si="8"/>
        <v>1.1790975083721284E-2</v>
      </c>
      <c r="Y25" s="429">
        <f t="shared" si="2"/>
        <v>1.1967609707921574E-2</v>
      </c>
      <c r="Z25" s="429">
        <f t="shared" si="3"/>
        <v>1.2569829166035227E-2</v>
      </c>
      <c r="AA25" s="429">
        <f t="shared" si="4"/>
        <v>1.3902906395252984E-2</v>
      </c>
      <c r="AB25" s="429">
        <f t="shared" si="9"/>
        <v>1.2557830088232767E-2</v>
      </c>
      <c r="AC25" s="429">
        <f t="shared" si="10"/>
        <v>9.0416376635275917</v>
      </c>
      <c r="AD25" s="430">
        <f t="shared" si="11"/>
        <v>25.115660176465536</v>
      </c>
    </row>
    <row r="26" spans="1:81">
      <c r="B26" s="314" t="s">
        <v>6</v>
      </c>
      <c r="C26" s="317">
        <v>140</v>
      </c>
      <c r="D26" s="315">
        <v>190</v>
      </c>
      <c r="E26" s="317">
        <v>340</v>
      </c>
      <c r="F26" s="724">
        <v>420</v>
      </c>
      <c r="G26" s="705"/>
      <c r="H26" s="537">
        <v>9.7430937306360974</v>
      </c>
      <c r="I26" s="538">
        <v>9.140427457962895</v>
      </c>
      <c r="J26" s="538">
        <v>7.7372013558320187</v>
      </c>
      <c r="K26" s="538">
        <v>7.3706164543759627</v>
      </c>
      <c r="L26" s="429">
        <f t="shared" si="5"/>
        <v>1.2961750510189602E-3</v>
      </c>
      <c r="M26" s="429">
        <f t="shared" si="0"/>
        <v>1.3746679774121683E-3</v>
      </c>
      <c r="N26" s="429">
        <f t="shared" si="0"/>
        <v>1.6717227596791575E-3</v>
      </c>
      <c r="O26" s="429">
        <f t="shared" si="0"/>
        <v>1.7774981596759864E-3</v>
      </c>
      <c r="P26" s="429">
        <f t="shared" si="6"/>
        <v>1.5300159869465681E-3</v>
      </c>
      <c r="Q26" s="538">
        <f t="shared" si="7"/>
        <v>0.21420223817251954</v>
      </c>
      <c r="R26" s="541">
        <f t="shared" si="1"/>
        <v>0.64260671451755857</v>
      </c>
      <c r="S26" s="27"/>
      <c r="T26" s="537">
        <v>134.20676542936857</v>
      </c>
      <c r="U26" s="538">
        <v>128.81762425482381</v>
      </c>
      <c r="V26" s="538">
        <v>117.11480477696929</v>
      </c>
      <c r="W26" s="538">
        <v>89.71631768139008</v>
      </c>
      <c r="X26" s="429">
        <f t="shared" si="8"/>
        <v>1.0336638242555928E-3</v>
      </c>
      <c r="Y26" s="429">
        <f t="shared" si="2"/>
        <v>1.0908362703294812E-3</v>
      </c>
      <c r="Z26" s="429">
        <f t="shared" si="3"/>
        <v>1.2476511578524893E-3</v>
      </c>
      <c r="AA26" s="429">
        <f t="shared" si="4"/>
        <v>1.5298217857151522E-3</v>
      </c>
      <c r="AB26" s="429">
        <f t="shared" si="9"/>
        <v>1.225493259538179E-3</v>
      </c>
      <c r="AC26" s="429">
        <f t="shared" si="10"/>
        <v>0.17156905633534505</v>
      </c>
      <c r="AD26" s="430">
        <f t="shared" si="11"/>
        <v>0.51470716900603519</v>
      </c>
    </row>
    <row r="27" spans="1:81" s="99" customFormat="1" ht="17.25" customHeight="1">
      <c r="A27" s="27"/>
      <c r="B27" s="314" t="s">
        <v>7</v>
      </c>
      <c r="C27" s="317">
        <v>160</v>
      </c>
      <c r="D27" s="315">
        <v>220</v>
      </c>
      <c r="E27" s="317">
        <v>390</v>
      </c>
      <c r="F27" s="724">
        <v>490</v>
      </c>
      <c r="G27" s="705"/>
      <c r="H27" s="537">
        <v>75.430558344727345</v>
      </c>
      <c r="I27" s="538">
        <v>69.155172288520774</v>
      </c>
      <c r="J27" s="538">
        <v>55.032560639489994</v>
      </c>
      <c r="K27" s="538">
        <v>51.116482723302575</v>
      </c>
      <c r="L27" s="429">
        <f t="shared" si="5"/>
        <v>1.0034924277022472E-2</v>
      </c>
      <c r="M27" s="429">
        <f t="shared" si="0"/>
        <v>1.0400542125043885E-2</v>
      </c>
      <c r="N27" s="429">
        <f t="shared" si="0"/>
        <v>1.1890498891451646E-2</v>
      </c>
      <c r="O27" s="429">
        <f>K27/K$47</f>
        <v>1.2327253023162815E-2</v>
      </c>
      <c r="P27" s="429">
        <f t="shared" si="6"/>
        <v>1.1163304579170205E-2</v>
      </c>
      <c r="Q27" s="538">
        <f t="shared" si="7"/>
        <v>1.7861287326672328</v>
      </c>
      <c r="R27" s="541">
        <f t="shared" si="1"/>
        <v>5.4700192437934003</v>
      </c>
      <c r="S27" s="27"/>
      <c r="T27" s="537">
        <v>1351.4688447330218</v>
      </c>
      <c r="U27" s="538">
        <v>1271.0713794467385</v>
      </c>
      <c r="V27" s="538">
        <v>1102.6423206239851</v>
      </c>
      <c r="W27" s="538">
        <v>835.25365070367411</v>
      </c>
      <c r="X27" s="429">
        <f t="shared" si="8"/>
        <v>1.0409046443670003E-2</v>
      </c>
      <c r="Y27" s="429">
        <f t="shared" si="2"/>
        <v>1.0763517576876195E-2</v>
      </c>
      <c r="Z27" s="429">
        <f t="shared" si="3"/>
        <v>1.1746704190333123E-2</v>
      </c>
      <c r="AA27" s="429">
        <f t="shared" si="4"/>
        <v>1.4242551014882407E-2</v>
      </c>
      <c r="AB27" s="429">
        <f t="shared" si="9"/>
        <v>1.1790454806440432E-2</v>
      </c>
      <c r="AC27" s="429">
        <f t="shared" si="10"/>
        <v>1.8864727690304692</v>
      </c>
      <c r="AD27" s="430">
        <f t="shared" si="11"/>
        <v>5.7773228551558118</v>
      </c>
      <c r="AE27" s="27"/>
      <c r="AF27" s="27"/>
      <c r="AG27" s="27"/>
      <c r="AH27" s="27"/>
      <c r="AI27" s="27"/>
      <c r="AJ27" s="27"/>
      <c r="AK27" s="27"/>
      <c r="AL27" s="27"/>
      <c r="AM27" s="27"/>
      <c r="AN27" s="27"/>
      <c r="AO27" s="27"/>
      <c r="AP27" s="27"/>
      <c r="AQ27" s="27"/>
      <c r="AR27" s="27"/>
      <c r="AS27" s="27"/>
      <c r="AT27" s="27"/>
      <c r="AU27" s="27"/>
      <c r="AV27" s="27"/>
      <c r="AW27" s="27"/>
      <c r="AX27" s="27"/>
      <c r="AY27" s="27"/>
      <c r="AZ27" s="27"/>
      <c r="BA27" s="27"/>
      <c r="BB27" s="27"/>
      <c r="BC27" s="27"/>
      <c r="BD27" s="27"/>
      <c r="BE27" s="27"/>
      <c r="BF27" s="27"/>
      <c r="BG27" s="27"/>
      <c r="BH27" s="27"/>
      <c r="BI27" s="27"/>
      <c r="BJ27" s="27"/>
      <c r="BK27" s="27"/>
      <c r="BL27" s="27"/>
      <c r="BM27" s="27"/>
      <c r="BN27" s="27"/>
      <c r="BO27" s="27"/>
      <c r="BP27" s="27"/>
      <c r="BQ27" s="27"/>
      <c r="BR27" s="27"/>
      <c r="BS27" s="27"/>
      <c r="BT27" s="27"/>
      <c r="BU27" s="27"/>
      <c r="BV27" s="27"/>
      <c r="BW27" s="27"/>
      <c r="BX27" s="27"/>
      <c r="BY27" s="27"/>
      <c r="BZ27" s="27"/>
      <c r="CA27" s="27"/>
      <c r="CB27" s="27"/>
      <c r="CC27" s="27"/>
    </row>
    <row r="28" spans="1:81" s="99" customFormat="1">
      <c r="A28" s="27"/>
      <c r="B28" s="314" t="s">
        <v>8</v>
      </c>
      <c r="C28" s="317">
        <v>1400</v>
      </c>
      <c r="D28" s="315">
        <v>2000</v>
      </c>
      <c r="E28" s="317">
        <v>3100</v>
      </c>
      <c r="F28" s="724">
        <v>4200</v>
      </c>
      <c r="G28" s="705"/>
      <c r="H28" s="537">
        <v>738.12979861082022</v>
      </c>
      <c r="I28" s="538">
        <v>648.92543574351032</v>
      </c>
      <c r="J28" s="538">
        <v>433.91457663027126</v>
      </c>
      <c r="K28" s="538">
        <v>375.5328239427343</v>
      </c>
      <c r="L28" s="429">
        <f t="shared" si="5"/>
        <v>9.8197292956816465E-2</v>
      </c>
      <c r="M28" s="429">
        <f t="shared" si="0"/>
        <v>9.7594671622026299E-2</v>
      </c>
      <c r="N28" s="429">
        <f t="shared" si="0"/>
        <v>9.3752875251540635E-2</v>
      </c>
      <c r="O28" s="429">
        <f t="shared" si="0"/>
        <v>9.0563510879722114E-2</v>
      </c>
      <c r="P28" s="429">
        <f t="shared" si="6"/>
        <v>9.5027087677526378E-2</v>
      </c>
      <c r="Q28" s="538">
        <f t="shared" si="7"/>
        <v>133.03792274853694</v>
      </c>
      <c r="R28" s="541">
        <f t="shared" si="1"/>
        <v>399.1137682456108</v>
      </c>
      <c r="S28" s="27"/>
      <c r="T28" s="537">
        <v>15040.504136046826</v>
      </c>
      <c r="U28" s="538">
        <v>13701.786201860792</v>
      </c>
      <c r="V28" s="538">
        <v>10888.844776829475</v>
      </c>
      <c r="W28" s="538">
        <v>5990.08391424004</v>
      </c>
      <c r="X28" s="429">
        <f t="shared" si="8"/>
        <v>0.11584233458171177</v>
      </c>
      <c r="Y28" s="429">
        <f t="shared" si="2"/>
        <v>0.11602764329610031</v>
      </c>
      <c r="Z28" s="429">
        <f t="shared" si="3"/>
        <v>0.11600138700960308</v>
      </c>
      <c r="AA28" s="429">
        <f t="shared" si="4"/>
        <v>0.10214151792107215</v>
      </c>
      <c r="AB28" s="429">
        <f t="shared" si="9"/>
        <v>0.11250322070212182</v>
      </c>
      <c r="AC28" s="429">
        <f t="shared" si="10"/>
        <v>157.50450898297055</v>
      </c>
      <c r="AD28" s="430">
        <f t="shared" si="11"/>
        <v>472.51352694891165</v>
      </c>
      <c r="AE28" s="27"/>
      <c r="AF28" s="27"/>
      <c r="AG28" s="27"/>
      <c r="AH28" s="27"/>
      <c r="AI28" s="27"/>
      <c r="AJ28" s="27"/>
      <c r="AK28" s="27"/>
      <c r="AL28" s="27"/>
      <c r="AM28" s="27"/>
      <c r="AN28" s="27"/>
      <c r="AO28" s="27"/>
      <c r="AP28" s="27"/>
      <c r="AQ28" s="27"/>
      <c r="AR28" s="27"/>
      <c r="AS28" s="27"/>
      <c r="AT28" s="27"/>
      <c r="AU28" s="27"/>
      <c r="AV28" s="27"/>
      <c r="AW28" s="27"/>
      <c r="AX28" s="27"/>
      <c r="AY28" s="27"/>
      <c r="AZ28" s="27"/>
      <c r="BA28" s="27"/>
      <c r="BB28" s="27"/>
      <c r="BC28" s="27"/>
      <c r="BD28" s="27"/>
      <c r="BE28" s="27"/>
      <c r="BF28" s="27"/>
      <c r="BG28" s="27"/>
      <c r="BH28" s="27"/>
      <c r="BI28" s="27"/>
      <c r="BJ28" s="27"/>
      <c r="BK28" s="27"/>
      <c r="BL28" s="27"/>
      <c r="BM28" s="27"/>
      <c r="BN28" s="27"/>
      <c r="BO28" s="27"/>
      <c r="BP28" s="27"/>
      <c r="BQ28" s="27"/>
      <c r="BR28" s="27"/>
      <c r="BS28" s="27"/>
      <c r="BT28" s="27"/>
      <c r="BU28" s="27"/>
      <c r="BV28" s="27"/>
      <c r="BW28" s="27"/>
      <c r="BX28" s="27"/>
      <c r="BY28" s="27"/>
      <c r="BZ28" s="27"/>
      <c r="CA28" s="27"/>
      <c r="CB28" s="27"/>
      <c r="CC28" s="27"/>
    </row>
    <row r="29" spans="1:81" s="99" customFormat="1">
      <c r="A29" s="27"/>
      <c r="B29" s="314" t="s">
        <v>9</v>
      </c>
      <c r="C29" s="317">
        <v>1700</v>
      </c>
      <c r="D29" s="315">
        <v>2500</v>
      </c>
      <c r="E29" s="317">
        <v>3900</v>
      </c>
      <c r="F29" s="724">
        <v>5100</v>
      </c>
      <c r="G29" s="705"/>
      <c r="H29" s="537">
        <v>1071.240710350675</v>
      </c>
      <c r="I29" s="538">
        <v>968.03728945632236</v>
      </c>
      <c r="J29" s="538">
        <v>735.51022767173004</v>
      </c>
      <c r="K29" s="538">
        <v>691.2503919530335</v>
      </c>
      <c r="L29" s="429">
        <f t="shared" si="5"/>
        <v>0.14251279119139926</v>
      </c>
      <c r="M29" s="429">
        <f t="shared" si="0"/>
        <v>0.14558726808746611</v>
      </c>
      <c r="N29" s="429">
        <f t="shared" si="0"/>
        <v>0.15891652950828605</v>
      </c>
      <c r="O29" s="429">
        <f t="shared" si="0"/>
        <v>0.16670197224037342</v>
      </c>
      <c r="P29" s="429">
        <f t="shared" si="6"/>
        <v>0.15342964025688122</v>
      </c>
      <c r="Q29" s="538">
        <f t="shared" si="7"/>
        <v>260.83038843669806</v>
      </c>
      <c r="R29" s="541">
        <f t="shared" si="1"/>
        <v>782.49116531009417</v>
      </c>
      <c r="S29" s="27"/>
      <c r="T29" s="537">
        <v>14372.522446795036</v>
      </c>
      <c r="U29" s="538">
        <v>13368.430762351083</v>
      </c>
      <c r="V29" s="538">
        <v>11243.192181842296</v>
      </c>
      <c r="W29" s="538">
        <v>8432.9640446656231</v>
      </c>
      <c r="X29" s="429">
        <f t="shared" si="8"/>
        <v>0.11069752310193505</v>
      </c>
      <c r="Y29" s="429">
        <f t="shared" si="2"/>
        <v>0.11320476710635254</v>
      </c>
      <c r="Z29" s="429">
        <f t="shared" si="3"/>
        <v>0.119776332038869</v>
      </c>
      <c r="AA29" s="429">
        <f t="shared" si="4"/>
        <v>0.14379694181717498</v>
      </c>
      <c r="AB29" s="429">
        <f t="shared" si="9"/>
        <v>0.12186889101608289</v>
      </c>
      <c r="AC29" s="429">
        <f t="shared" si="10"/>
        <v>207.17711472734092</v>
      </c>
      <c r="AD29" s="430">
        <f t="shared" si="11"/>
        <v>621.53134418202274</v>
      </c>
      <c r="AE29" s="27"/>
      <c r="AF29" s="27"/>
      <c r="AG29" s="27"/>
      <c r="AH29" s="27"/>
      <c r="AI29" s="27"/>
      <c r="AJ29" s="27"/>
      <c r="AK29" s="27"/>
      <c r="AL29" s="27"/>
      <c r="AM29" s="27"/>
      <c r="AN29" s="27"/>
      <c r="AO29" s="27"/>
      <c r="AP29" s="27"/>
      <c r="AQ29" s="27"/>
      <c r="AR29" s="27"/>
      <c r="AS29" s="27"/>
      <c r="AT29" s="27"/>
      <c r="AU29" s="27"/>
      <c r="AV29" s="27"/>
      <c r="AW29" s="27"/>
      <c r="AX29" s="27"/>
      <c r="AY29" s="27"/>
      <c r="AZ29" s="27"/>
      <c r="BA29" s="27"/>
      <c r="BB29" s="27"/>
      <c r="BC29" s="27"/>
      <c r="BD29" s="27"/>
      <c r="BE29" s="27"/>
      <c r="BF29" s="27"/>
      <c r="BG29" s="27"/>
      <c r="BH29" s="27"/>
      <c r="BI29" s="27"/>
      <c r="BJ29" s="27"/>
      <c r="BK29" s="27"/>
      <c r="BL29" s="27"/>
      <c r="BM29" s="27"/>
      <c r="BN29" s="27"/>
      <c r="BO29" s="27"/>
      <c r="BP29" s="27"/>
      <c r="BQ29" s="27"/>
      <c r="BR29" s="27"/>
      <c r="BS29" s="27"/>
      <c r="BT29" s="27"/>
      <c r="BU29" s="27"/>
      <c r="BV29" s="27"/>
      <c r="BW29" s="27"/>
      <c r="BX29" s="27"/>
      <c r="BY29" s="27"/>
      <c r="BZ29" s="27"/>
      <c r="CA29" s="27"/>
      <c r="CB29" s="27"/>
      <c r="CC29" s="27"/>
    </row>
    <row r="30" spans="1:81" s="99" customFormat="1">
      <c r="A30" s="27"/>
      <c r="B30" s="314" t="s">
        <v>10</v>
      </c>
      <c r="C30" s="317">
        <v>280</v>
      </c>
      <c r="D30" s="315">
        <v>400</v>
      </c>
      <c r="E30" s="317">
        <v>670</v>
      </c>
      <c r="F30" s="724">
        <v>880</v>
      </c>
      <c r="G30" s="705"/>
      <c r="H30" s="537">
        <v>238.05378284912243</v>
      </c>
      <c r="I30" s="538">
        <v>201.8055857376529</v>
      </c>
      <c r="J30" s="538">
        <v>118.47027628590818</v>
      </c>
      <c r="K30" s="538">
        <v>106.60454206171907</v>
      </c>
      <c r="L30" s="429">
        <f t="shared" si="5"/>
        <v>3.1669547954720621E-2</v>
      </c>
      <c r="M30" s="429">
        <f t="shared" si="0"/>
        <v>3.0350405126270123E-2</v>
      </c>
      <c r="N30" s="429">
        <f t="shared" si="0"/>
        <v>2.5597040597030378E-2</v>
      </c>
      <c r="O30" s="429">
        <f t="shared" si="0"/>
        <v>2.5708755638113059E-2</v>
      </c>
      <c r="P30" s="429">
        <f t="shared" si="6"/>
        <v>2.8331437329033544E-2</v>
      </c>
      <c r="Q30" s="538">
        <f t="shared" si="7"/>
        <v>7.9328024521293923</v>
      </c>
      <c r="R30" s="541">
        <f t="shared" si="1"/>
        <v>24.93166484954952</v>
      </c>
      <c r="S30" s="27"/>
      <c r="T30" s="537">
        <v>5187.3348247779422</v>
      </c>
      <c r="U30" s="538">
        <v>4524.0985696994558</v>
      </c>
      <c r="V30" s="538">
        <v>3205.4626417100581</v>
      </c>
      <c r="W30" s="538">
        <v>1941.8091205745466</v>
      </c>
      <c r="X30" s="429">
        <f t="shared" si="8"/>
        <v>3.9952981025357617E-2</v>
      </c>
      <c r="Y30" s="429">
        <f t="shared" si="2"/>
        <v>3.8310369710060022E-2</v>
      </c>
      <c r="Z30" s="429">
        <f t="shared" si="3"/>
        <v>3.4148536421152093E-2</v>
      </c>
      <c r="AA30" s="429">
        <f t="shared" si="4"/>
        <v>3.3111277559394532E-2</v>
      </c>
      <c r="AB30" s="429">
        <f t="shared" si="9"/>
        <v>3.6380791178991068E-2</v>
      </c>
      <c r="AC30" s="429">
        <f t="shared" si="10"/>
        <v>10.186621530117499</v>
      </c>
      <c r="AD30" s="430">
        <f t="shared" si="11"/>
        <v>32.01509623751214</v>
      </c>
      <c r="AE30" s="27"/>
      <c r="AF30" s="27"/>
      <c r="AG30" s="27"/>
      <c r="AH30" s="27"/>
      <c r="AI30" s="27"/>
      <c r="AJ30" s="27"/>
      <c r="AK30" s="27"/>
      <c r="AL30" s="27"/>
      <c r="AM30" s="27"/>
      <c r="AN30" s="27"/>
      <c r="AO30" s="27"/>
      <c r="AP30" s="27"/>
      <c r="AQ30" s="27"/>
      <c r="AR30" s="27"/>
      <c r="AS30" s="27"/>
      <c r="AT30" s="27"/>
      <c r="AU30" s="27"/>
      <c r="AV30" s="27"/>
      <c r="AW30" s="27"/>
      <c r="AX30" s="27"/>
      <c r="AY30" s="27"/>
      <c r="AZ30" s="27"/>
      <c r="BA30" s="27"/>
      <c r="BB30" s="27"/>
      <c r="BC30" s="27"/>
      <c r="BD30" s="27"/>
      <c r="BE30" s="27"/>
      <c r="BF30" s="27"/>
      <c r="BG30" s="27"/>
      <c r="BH30" s="27"/>
      <c r="BI30" s="27"/>
      <c r="BJ30" s="27"/>
      <c r="BK30" s="27"/>
      <c r="BL30" s="27"/>
      <c r="BM30" s="27"/>
      <c r="BN30" s="27"/>
      <c r="BO30" s="27"/>
      <c r="BP30" s="27"/>
      <c r="BQ30" s="27"/>
      <c r="BR30" s="27"/>
      <c r="BS30" s="27"/>
      <c r="BT30" s="27"/>
      <c r="BU30" s="27"/>
      <c r="BV30" s="27"/>
      <c r="BW30" s="27"/>
      <c r="BX30" s="27"/>
      <c r="BY30" s="27"/>
      <c r="BZ30" s="27"/>
      <c r="CA30" s="27"/>
      <c r="CB30" s="27"/>
      <c r="CC30" s="27"/>
    </row>
    <row r="31" spans="1:81" s="99" customFormat="1">
      <c r="A31" s="27"/>
      <c r="B31" s="314" t="s">
        <v>11</v>
      </c>
      <c r="C31" s="317">
        <v>860</v>
      </c>
      <c r="D31" s="315">
        <v>1300</v>
      </c>
      <c r="E31" s="317">
        <v>2000</v>
      </c>
      <c r="F31" s="724">
        <v>2700</v>
      </c>
      <c r="G31" s="705"/>
      <c r="H31" s="537">
        <v>99.289310686556902</v>
      </c>
      <c r="I31" s="538">
        <v>89.199188332483502</v>
      </c>
      <c r="J31" s="538">
        <v>64.524507229891697</v>
      </c>
      <c r="K31" s="538">
        <v>54.571063938725757</v>
      </c>
      <c r="L31" s="429">
        <f t="shared" si="5"/>
        <v>1.3208979704271312E-2</v>
      </c>
      <c r="M31" s="429">
        <f t="shared" si="0"/>
        <v>1.3415047422645378E-2</v>
      </c>
      <c r="N31" s="429">
        <f t="shared" si="0"/>
        <v>1.3941357130635618E-2</v>
      </c>
      <c r="O31" s="429">
        <f t="shared" si="0"/>
        <v>1.3160359967592176E-2</v>
      </c>
      <c r="P31" s="429">
        <f t="shared" si="6"/>
        <v>1.3431436056286121E-2</v>
      </c>
      <c r="Q31" s="538">
        <f t="shared" si="7"/>
        <v>11.551035008406064</v>
      </c>
      <c r="R31" s="541">
        <f t="shared" si="1"/>
        <v>36.26487735197253</v>
      </c>
      <c r="S31" s="27"/>
      <c r="T31" s="537">
        <v>2295.8324497569952</v>
      </c>
      <c r="U31" s="538">
        <v>2125.4765499853956</v>
      </c>
      <c r="V31" s="538">
        <v>1779.3580149923941</v>
      </c>
      <c r="W31" s="538">
        <v>909.12566121147483</v>
      </c>
      <c r="X31" s="429">
        <f t="shared" si="8"/>
        <v>1.7682558269499805E-2</v>
      </c>
      <c r="Y31" s="429">
        <f t="shared" si="2"/>
        <v>1.7998677788625808E-2</v>
      </c>
      <c r="Z31" s="429">
        <f t="shared" si="3"/>
        <v>1.8955913318278745E-2</v>
      </c>
      <c r="AA31" s="429">
        <f t="shared" si="4"/>
        <v>1.550219935924211E-2</v>
      </c>
      <c r="AB31" s="429">
        <f t="shared" si="9"/>
        <v>1.753483718391162E-2</v>
      </c>
      <c r="AC31" s="429">
        <f t="shared" si="10"/>
        <v>15.079959978163993</v>
      </c>
      <c r="AD31" s="430">
        <f t="shared" si="11"/>
        <v>47.344060396561375</v>
      </c>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row>
    <row r="32" spans="1:81" s="99" customFormat="1">
      <c r="A32" s="27"/>
      <c r="B32" s="314" t="s">
        <v>12</v>
      </c>
      <c r="C32" s="317">
        <v>680</v>
      </c>
      <c r="D32" s="315">
        <v>950</v>
      </c>
      <c r="E32" s="317">
        <v>1600</v>
      </c>
      <c r="F32" s="724">
        <v>2000</v>
      </c>
      <c r="G32" s="705"/>
      <c r="H32" s="537">
        <v>139.68759901688767</v>
      </c>
      <c r="I32" s="538">
        <v>118.12063494405255</v>
      </c>
      <c r="J32" s="538">
        <v>74.782153861199347</v>
      </c>
      <c r="K32" s="538">
        <v>61.615768320124126</v>
      </c>
      <c r="L32" s="429">
        <f t="shared" si="5"/>
        <v>1.8583376675635203E-2</v>
      </c>
      <c r="M32" s="429">
        <f t="shared" si="0"/>
        <v>1.7764667470526626E-2</v>
      </c>
      <c r="N32" s="429">
        <f t="shared" si="0"/>
        <v>1.6157654800254589E-2</v>
      </c>
      <c r="O32" s="429">
        <f t="shared" si="0"/>
        <v>1.4859261158680831E-2</v>
      </c>
      <c r="P32" s="429">
        <f t="shared" si="6"/>
        <v>1.6841240026274313E-2</v>
      </c>
      <c r="Q32" s="538">
        <f t="shared" si="7"/>
        <v>11.452043217866533</v>
      </c>
      <c r="R32" s="541">
        <f t="shared" si="1"/>
        <v>33.682480052548627</v>
      </c>
      <c r="S32" s="27"/>
      <c r="T32" s="537">
        <v>4093.4434314946106</v>
      </c>
      <c r="U32" s="538">
        <v>3333.5412514670911</v>
      </c>
      <c r="V32" s="538">
        <v>2281.9460577940758</v>
      </c>
      <c r="W32" s="538">
        <v>1149.6259766343601</v>
      </c>
      <c r="X32" s="429">
        <f t="shared" si="8"/>
        <v>3.1527802478776748E-2</v>
      </c>
      <c r="Y32" s="429">
        <f t="shared" si="2"/>
        <v>2.8228650596338441E-2</v>
      </c>
      <c r="Z32" s="429">
        <f t="shared" si="3"/>
        <v>2.4310100218205555E-2</v>
      </c>
      <c r="AA32" s="429">
        <f t="shared" si="4"/>
        <v>1.9603154809864826E-2</v>
      </c>
      <c r="AB32" s="429">
        <f t="shared" si="9"/>
        <v>2.5917427025796393E-2</v>
      </c>
      <c r="AC32" s="429">
        <f t="shared" si="10"/>
        <v>17.623850377541547</v>
      </c>
      <c r="AD32" s="430">
        <f t="shared" si="11"/>
        <v>51.834854051592785</v>
      </c>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row>
    <row r="33" spans="1:81" s="99" customFormat="1">
      <c r="A33" s="27"/>
      <c r="B33" s="314" t="s">
        <v>13</v>
      </c>
      <c r="C33" s="317">
        <v>1100</v>
      </c>
      <c r="D33" s="315">
        <v>1600</v>
      </c>
      <c r="E33" s="317">
        <v>2600</v>
      </c>
      <c r="F33" s="724">
        <v>3500</v>
      </c>
      <c r="G33" s="705"/>
      <c r="H33" s="537">
        <v>1633.0492840205791</v>
      </c>
      <c r="I33" s="538">
        <v>1413.8974189044193</v>
      </c>
      <c r="J33" s="538">
        <v>890.96334993293613</v>
      </c>
      <c r="K33" s="538">
        <v>781.85879206969457</v>
      </c>
      <c r="L33" s="429">
        <f t="shared" si="5"/>
        <v>0.21725314336000504</v>
      </c>
      <c r="M33" s="429">
        <f t="shared" si="0"/>
        <v>0.21264207982093625</v>
      </c>
      <c r="N33" s="429">
        <f t="shared" si="0"/>
        <v>0.19250419390988019</v>
      </c>
      <c r="O33" s="429">
        <f t="shared" si="0"/>
        <v>0.188553097645621</v>
      </c>
      <c r="P33" s="429">
        <f t="shared" si="6"/>
        <v>0.20273812868411062</v>
      </c>
      <c r="Q33" s="538">
        <f t="shared" si="7"/>
        <v>223.01194155252168</v>
      </c>
      <c r="R33" s="541">
        <f t="shared" si="1"/>
        <v>709.58345039438711</v>
      </c>
      <c r="S33" s="27"/>
      <c r="T33" s="537">
        <v>26387.328950829127</v>
      </c>
      <c r="U33" s="538">
        <v>23676.551333379248</v>
      </c>
      <c r="V33" s="538">
        <v>17877.670375358539</v>
      </c>
      <c r="W33" s="538">
        <v>10067.9892785498</v>
      </c>
      <c r="X33" s="429">
        <f t="shared" si="8"/>
        <v>0.20323585974180411</v>
      </c>
      <c r="Y33" s="429">
        <f t="shared" si="2"/>
        <v>0.20049462253454639</v>
      </c>
      <c r="Z33" s="429">
        <f t="shared" si="3"/>
        <v>0.19045496584311894</v>
      </c>
      <c r="AA33" s="429">
        <f t="shared" si="4"/>
        <v>0.17167701188283341</v>
      </c>
      <c r="AB33" s="429">
        <f t="shared" si="9"/>
        <v>0.19146561500057574</v>
      </c>
      <c r="AC33" s="429">
        <f t="shared" si="10"/>
        <v>210.61217650063332</v>
      </c>
      <c r="AD33" s="430">
        <f t="shared" si="11"/>
        <v>670.12965250201512</v>
      </c>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row>
    <row r="34" spans="1:81" s="99" customFormat="1">
      <c r="A34" s="27"/>
      <c r="B34" s="314" t="s">
        <v>14</v>
      </c>
      <c r="C34" s="317">
        <v>220</v>
      </c>
      <c r="D34" s="315">
        <v>300</v>
      </c>
      <c r="E34" s="317">
        <v>520</v>
      </c>
      <c r="F34" s="724">
        <v>650</v>
      </c>
      <c r="G34" s="705"/>
      <c r="H34" s="537">
        <v>14.173385049317677</v>
      </c>
      <c r="I34" s="538">
        <v>13.03108354859296</v>
      </c>
      <c r="J34" s="538">
        <v>10.663476160966288</v>
      </c>
      <c r="K34" s="538">
        <v>10.529175141094775</v>
      </c>
      <c r="L34" s="429">
        <f t="shared" si="5"/>
        <v>1.8855600281915083E-3</v>
      </c>
      <c r="M34" s="429">
        <f t="shared" si="0"/>
        <v>1.9598003865374568E-3</v>
      </c>
      <c r="N34" s="429">
        <f t="shared" si="0"/>
        <v>2.3039824060086794E-3</v>
      </c>
      <c r="O34" s="429">
        <f t="shared" si="0"/>
        <v>2.5392162992134248E-3</v>
      </c>
      <c r="P34" s="429">
        <f t="shared" si="6"/>
        <v>2.1721397799877675E-3</v>
      </c>
      <c r="Q34" s="538">
        <f t="shared" si="7"/>
        <v>0.47787075159730885</v>
      </c>
      <c r="R34" s="541">
        <f t="shared" si="1"/>
        <v>1.411890856992049</v>
      </c>
      <c r="S34" s="27"/>
      <c r="T34" s="537">
        <v>168.19949060032275</v>
      </c>
      <c r="U34" s="538">
        <v>158.27119082685181</v>
      </c>
      <c r="V34" s="538">
        <v>138.09925371678739</v>
      </c>
      <c r="W34" s="538">
        <v>124.08826096624585</v>
      </c>
      <c r="X34" s="429">
        <f t="shared" si="8"/>
        <v>1.2954766336520762E-3</v>
      </c>
      <c r="Y34" s="429">
        <f t="shared" si="2"/>
        <v>1.3402510448464781E-3</v>
      </c>
      <c r="Z34" s="429">
        <f t="shared" si="3"/>
        <v>1.4712033557707585E-3</v>
      </c>
      <c r="AA34" s="429">
        <f t="shared" si="4"/>
        <v>2.1159241694674149E-3</v>
      </c>
      <c r="AB34" s="429">
        <f t="shared" si="9"/>
        <v>1.5557138009341818E-3</v>
      </c>
      <c r="AC34" s="429">
        <f t="shared" si="10"/>
        <v>0.34225703620552</v>
      </c>
      <c r="AD34" s="430">
        <f t="shared" si="11"/>
        <v>1.0112139706072183</v>
      </c>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row>
    <row r="35" spans="1:81">
      <c r="B35" s="314" t="s">
        <v>15</v>
      </c>
      <c r="C35" s="317">
        <v>230</v>
      </c>
      <c r="D35" s="315">
        <v>330</v>
      </c>
      <c r="E35" s="317">
        <v>550</v>
      </c>
      <c r="F35" s="724">
        <v>710</v>
      </c>
      <c r="G35" s="705"/>
      <c r="H35" s="537">
        <v>36.273680520817713</v>
      </c>
      <c r="I35" s="538">
        <v>32.867092109596904</v>
      </c>
      <c r="J35" s="538">
        <v>25.409600699761381</v>
      </c>
      <c r="K35" s="538">
        <v>25.218629524008449</v>
      </c>
      <c r="L35" s="429">
        <f t="shared" si="5"/>
        <v>4.8256786806716639E-3</v>
      </c>
      <c r="M35" s="429">
        <f t="shared" si="0"/>
        <v>4.9430225491651639E-3</v>
      </c>
      <c r="N35" s="429">
        <f t="shared" si="0"/>
        <v>5.4900739751502434E-3</v>
      </c>
      <c r="O35" s="429">
        <f t="shared" si="0"/>
        <v>6.0817257071980879E-3</v>
      </c>
      <c r="P35" s="429">
        <f t="shared" si="6"/>
        <v>5.3351252280462898E-3</v>
      </c>
      <c r="Q35" s="538">
        <f t="shared" si="7"/>
        <v>1.2270788024506467</v>
      </c>
      <c r="R35" s="541">
        <f t="shared" si="1"/>
        <v>3.7879389119128657</v>
      </c>
      <c r="S35" s="27"/>
      <c r="T35" s="537">
        <v>344.02676498735616</v>
      </c>
      <c r="U35" s="538">
        <v>316.80504859430368</v>
      </c>
      <c r="V35" s="538">
        <v>258.39134927718192</v>
      </c>
      <c r="W35" s="538">
        <v>246.06765775293718</v>
      </c>
      <c r="X35" s="429">
        <f t="shared" si="8"/>
        <v>2.6497026465499827E-3</v>
      </c>
      <c r="Y35" s="429">
        <f t="shared" si="2"/>
        <v>2.682726370939257E-3</v>
      </c>
      <c r="Z35" s="429">
        <f t="shared" si="3"/>
        <v>2.7527029287089731E-3</v>
      </c>
      <c r="AA35" s="429">
        <f t="shared" si="4"/>
        <v>4.1958884773580984E-3</v>
      </c>
      <c r="AB35" s="429">
        <f t="shared" si="9"/>
        <v>3.0702551058890779E-3</v>
      </c>
      <c r="AC35" s="429">
        <f t="shared" si="10"/>
        <v>0.70615867435448787</v>
      </c>
      <c r="AD35" s="430">
        <f t="shared" si="11"/>
        <v>2.1798811251812453</v>
      </c>
    </row>
    <row r="36" spans="1:81">
      <c r="B36" s="314" t="s">
        <v>16</v>
      </c>
      <c r="C36" s="317">
        <v>2700</v>
      </c>
      <c r="D36" s="315">
        <v>4000</v>
      </c>
      <c r="E36" s="317">
        <v>5900</v>
      </c>
      <c r="F36" s="724">
        <v>8000</v>
      </c>
      <c r="G36" s="705"/>
      <c r="H36" s="537">
        <v>12.21827913817866</v>
      </c>
      <c r="I36" s="538">
        <v>11.3471320334527</v>
      </c>
      <c r="J36" s="538">
        <v>9.4315769014630355</v>
      </c>
      <c r="K36" s="538">
        <v>7.8156488123152297</v>
      </c>
      <c r="L36" s="429">
        <f t="shared" si="5"/>
        <v>1.6254619962748392E-3</v>
      </c>
      <c r="M36" s="429">
        <f t="shared" ref="M36:M46" si="12">I36/I$47</f>
        <v>1.7065437162094887E-3</v>
      </c>
      <c r="N36" s="429">
        <f t="shared" ref="N36:N46" si="13">J36/J$47</f>
        <v>2.0378145844628186E-3</v>
      </c>
      <c r="O36" s="429">
        <f t="shared" ref="O36:O46" si="14">K36/K$47</f>
        <v>1.8848221809610263E-3</v>
      </c>
      <c r="P36" s="429">
        <f t="shared" si="6"/>
        <v>1.8136606194770432E-3</v>
      </c>
      <c r="Q36" s="538">
        <f t="shared" si="7"/>
        <v>4.8968836725880163</v>
      </c>
      <c r="R36" s="541">
        <f t="shared" si="1"/>
        <v>14.509284955816344</v>
      </c>
      <c r="S36" s="27"/>
      <c r="T36" s="537">
        <v>221.16241295380681</v>
      </c>
      <c r="U36" s="538">
        <v>201.21087424032601</v>
      </c>
      <c r="V36" s="538">
        <v>164.3227410170374</v>
      </c>
      <c r="W36" s="538">
        <v>101.8268157195517</v>
      </c>
      <c r="X36" s="429">
        <f t="shared" si="8"/>
        <v>1.7033983705966006E-3</v>
      </c>
      <c r="Y36" s="429">
        <f t="shared" si="2"/>
        <v>1.7038671600701594E-3</v>
      </c>
      <c r="Z36" s="429">
        <f t="shared" si="3"/>
        <v>1.7505682435438622E-3</v>
      </c>
      <c r="AA36" s="429">
        <f t="shared" si="4"/>
        <v>1.7363271819847018E-3</v>
      </c>
      <c r="AB36" s="429">
        <f t="shared" si="9"/>
        <v>1.723540239048831E-3</v>
      </c>
      <c r="AC36" s="429">
        <f t="shared" si="10"/>
        <v>4.6535586454318434</v>
      </c>
      <c r="AD36" s="430">
        <f t="shared" si="11"/>
        <v>13.788321912390648</v>
      </c>
    </row>
    <row r="37" spans="1:81">
      <c r="B37" s="314" t="s">
        <v>17</v>
      </c>
      <c r="C37" s="317">
        <v>430</v>
      </c>
      <c r="D37" s="315">
        <v>580</v>
      </c>
      <c r="E37" s="317">
        <v>1000</v>
      </c>
      <c r="F37" s="724">
        <v>1300</v>
      </c>
      <c r="G37" s="705"/>
      <c r="H37" s="537">
        <v>6.3922587537655007</v>
      </c>
      <c r="I37" s="538">
        <v>5.6671751903031016</v>
      </c>
      <c r="J37" s="538">
        <v>3.8559589446468809</v>
      </c>
      <c r="K37" s="538">
        <v>3.4501987582770011</v>
      </c>
      <c r="L37" s="429">
        <f t="shared" si="5"/>
        <v>8.5039583374175933E-4</v>
      </c>
      <c r="M37" s="429">
        <f t="shared" si="12"/>
        <v>8.5231071438650547E-4</v>
      </c>
      <c r="N37" s="429">
        <f t="shared" si="13"/>
        <v>8.3312996931323054E-4</v>
      </c>
      <c r="O37" s="429">
        <f t="shared" si="14"/>
        <v>8.3205007088826637E-4</v>
      </c>
      <c r="P37" s="429">
        <f t="shared" si="6"/>
        <v>8.4197164708244053E-4</v>
      </c>
      <c r="Q37" s="538">
        <f t="shared" si="7"/>
        <v>0.36204780824544941</v>
      </c>
      <c r="R37" s="541">
        <f t="shared" si="1"/>
        <v>1.0945631412071728</v>
      </c>
      <c r="S37" s="27"/>
      <c r="T37" s="537">
        <v>83.997508894775052</v>
      </c>
      <c r="U37" s="538">
        <v>76.947555398078293</v>
      </c>
      <c r="V37" s="538">
        <v>60.609106109215801</v>
      </c>
      <c r="W37" s="538">
        <v>34.993872470113551</v>
      </c>
      <c r="X37" s="429">
        <f t="shared" si="8"/>
        <v>6.4695088950498115E-4</v>
      </c>
      <c r="Y37" s="429">
        <f t="shared" si="2"/>
        <v>6.5159705301945663E-4</v>
      </c>
      <c r="Z37" s="429">
        <f t="shared" si="3"/>
        <v>6.4568285416668353E-4</v>
      </c>
      <c r="AA37" s="429">
        <f t="shared" si="4"/>
        <v>5.9670737559062894E-4</v>
      </c>
      <c r="AB37" s="429">
        <f t="shared" si="9"/>
        <v>6.3523454307043762E-4</v>
      </c>
      <c r="AC37" s="429">
        <f t="shared" si="10"/>
        <v>0.27315085352028817</v>
      </c>
      <c r="AD37" s="430">
        <f t="shared" si="11"/>
        <v>0.82580490599156886</v>
      </c>
    </row>
    <row r="38" spans="1:81">
      <c r="B38" s="314" t="s">
        <v>18</v>
      </c>
      <c r="C38" s="317">
        <v>1900</v>
      </c>
      <c r="D38" s="315">
        <v>2700</v>
      </c>
      <c r="E38" s="317">
        <v>4100</v>
      </c>
      <c r="F38" s="724">
        <v>5400</v>
      </c>
      <c r="G38" s="705"/>
      <c r="H38" s="537">
        <v>171.41098880032334</v>
      </c>
      <c r="I38" s="538">
        <v>156.01049245591329</v>
      </c>
      <c r="J38" s="538">
        <v>121.62648807199798</v>
      </c>
      <c r="K38" s="538">
        <v>112.61985824207224</v>
      </c>
      <c r="L38" s="429">
        <f t="shared" si="5"/>
        <v>2.2803706224733624E-2</v>
      </c>
      <c r="M38" s="429">
        <f t="shared" si="12"/>
        <v>2.3463085190027145E-2</v>
      </c>
      <c r="N38" s="429">
        <f t="shared" si="13"/>
        <v>2.6278981112019928E-2</v>
      </c>
      <c r="O38" s="429">
        <f t="shared" si="14"/>
        <v>2.7159409529362404E-2</v>
      </c>
      <c r="P38" s="429">
        <f t="shared" si="6"/>
        <v>2.4926295514035773E-2</v>
      </c>
      <c r="Q38" s="538">
        <f t="shared" si="7"/>
        <v>47.359961476667969</v>
      </c>
      <c r="R38" s="541">
        <f t="shared" si="1"/>
        <v>134.60199577579317</v>
      </c>
      <c r="S38" s="27"/>
      <c r="T38" s="537">
        <v>2944.5526597385665</v>
      </c>
      <c r="U38" s="538">
        <v>2752.2400548634228</v>
      </c>
      <c r="V38" s="538">
        <v>2342.8153109788118</v>
      </c>
      <c r="W38" s="538">
        <v>1674.3600071616445</v>
      </c>
      <c r="X38" s="429">
        <f t="shared" si="8"/>
        <v>2.2679017359890065E-2</v>
      </c>
      <c r="Y38" s="429">
        <f t="shared" si="2"/>
        <v>2.3306153128237021E-2</v>
      </c>
      <c r="Z38" s="429">
        <f t="shared" si="3"/>
        <v>2.4958554479459522E-2</v>
      </c>
      <c r="AA38" s="429">
        <f t="shared" si="4"/>
        <v>2.8550797472346439E-2</v>
      </c>
      <c r="AB38" s="429">
        <f t="shared" si="9"/>
        <v>2.4873630609983263E-2</v>
      </c>
      <c r="AC38" s="429">
        <f t="shared" si="10"/>
        <v>47.259898158968198</v>
      </c>
      <c r="AD38" s="430">
        <f t="shared" si="11"/>
        <v>134.31760529390962</v>
      </c>
    </row>
    <row r="39" spans="1:81">
      <c r="B39" s="314" t="s">
        <v>19</v>
      </c>
      <c r="C39" s="317">
        <v>630</v>
      </c>
      <c r="D39" s="315">
        <v>900</v>
      </c>
      <c r="E39" s="317">
        <v>1400</v>
      </c>
      <c r="F39" s="724">
        <v>1900</v>
      </c>
      <c r="G39" s="705"/>
      <c r="H39" s="537">
        <v>362.58882605283719</v>
      </c>
      <c r="I39" s="538">
        <v>324.23938875413836</v>
      </c>
      <c r="J39" s="538">
        <v>234.40825831738198</v>
      </c>
      <c r="K39" s="538">
        <v>214.79994067265727</v>
      </c>
      <c r="L39" s="429">
        <f t="shared" si="5"/>
        <v>4.823710036065286E-2</v>
      </c>
      <c r="M39" s="429">
        <f t="shared" si="12"/>
        <v>4.8763748389875197E-2</v>
      </c>
      <c r="N39" s="429">
        <f t="shared" si="13"/>
        <v>5.0646946158451035E-2</v>
      </c>
      <c r="O39" s="429">
        <f t="shared" si="14"/>
        <v>5.1801162305424177E-2</v>
      </c>
      <c r="P39" s="429">
        <f t="shared" si="6"/>
        <v>4.9862239303600814E-2</v>
      </c>
      <c r="Q39" s="538">
        <f t="shared" si="7"/>
        <v>31.413210761268513</v>
      </c>
      <c r="R39" s="541">
        <f t="shared" si="1"/>
        <v>94.738254676841549</v>
      </c>
      <c r="S39" s="27"/>
      <c r="T39" s="537">
        <v>6094.8038111320311</v>
      </c>
      <c r="U39" s="538">
        <v>5619.1217106003714</v>
      </c>
      <c r="V39" s="538">
        <v>4548.7820231177029</v>
      </c>
      <c r="W39" s="538">
        <v>2944.8122066562723</v>
      </c>
      <c r="X39" s="429">
        <f t="shared" si="8"/>
        <v>4.694232958634191E-2</v>
      </c>
      <c r="Y39" s="429">
        <f t="shared" si="2"/>
        <v>4.7583099011307785E-2</v>
      </c>
      <c r="Z39" s="429">
        <f t="shared" si="3"/>
        <v>4.8459229119403709E-2</v>
      </c>
      <c r="AA39" s="429">
        <f t="shared" si="4"/>
        <v>5.0214252936477348E-2</v>
      </c>
      <c r="AB39" s="429">
        <f t="shared" si="9"/>
        <v>4.829972766338269E-2</v>
      </c>
      <c r="AC39" s="429">
        <f t="shared" si="10"/>
        <v>30.428828427931094</v>
      </c>
      <c r="AD39" s="430">
        <f t="shared" si="11"/>
        <v>91.769482560427107</v>
      </c>
    </row>
    <row r="40" spans="1:81">
      <c r="B40" s="314" t="s">
        <v>20</v>
      </c>
      <c r="C40" s="317">
        <v>500</v>
      </c>
      <c r="D40" s="315">
        <v>700</v>
      </c>
      <c r="E40" s="317">
        <v>1200</v>
      </c>
      <c r="F40" s="724">
        <v>1600</v>
      </c>
      <c r="G40" s="705"/>
      <c r="H40" s="537">
        <v>146.0093242475601</v>
      </c>
      <c r="I40" s="538">
        <v>127.05460225296619</v>
      </c>
      <c r="J40" s="538">
        <v>82.907987348520635</v>
      </c>
      <c r="K40" s="538">
        <v>72.539866146893814</v>
      </c>
      <c r="L40" s="429">
        <f t="shared" si="5"/>
        <v>1.9424389063479666E-2</v>
      </c>
      <c r="M40" s="429">
        <f t="shared" si="12"/>
        <v>1.9108285023129338E-2</v>
      </c>
      <c r="N40" s="429">
        <f t="shared" si="13"/>
        <v>1.7913346575275907E-2</v>
      </c>
      <c r="O40" s="429">
        <f t="shared" si="14"/>
        <v>1.7493717028606783E-2</v>
      </c>
      <c r="P40" s="429">
        <f t="shared" si="6"/>
        <v>1.8484934422622924E-2</v>
      </c>
      <c r="Q40" s="538">
        <f t="shared" si="7"/>
        <v>9.2424672113114621</v>
      </c>
      <c r="R40" s="541">
        <f t="shared" si="1"/>
        <v>29.57589507619668</v>
      </c>
      <c r="S40" s="27"/>
      <c r="T40" s="537">
        <v>3340.5143396342532</v>
      </c>
      <c r="U40" s="538">
        <v>2997.9589094508879</v>
      </c>
      <c r="V40" s="538">
        <v>2323.2132483923542</v>
      </c>
      <c r="W40" s="538">
        <v>1277.3656659309777</v>
      </c>
      <c r="X40" s="429">
        <f t="shared" si="8"/>
        <v>2.5728724004634811E-2</v>
      </c>
      <c r="Y40" s="429">
        <f t="shared" si="2"/>
        <v>2.5386916847008875E-2</v>
      </c>
      <c r="Z40" s="429">
        <f t="shared" si="3"/>
        <v>2.4749729163745893E-2</v>
      </c>
      <c r="AA40" s="429">
        <f t="shared" si="4"/>
        <v>2.178134228608785E-2</v>
      </c>
      <c r="AB40" s="429">
        <f t="shared" si="9"/>
        <v>2.4411678075369356E-2</v>
      </c>
      <c r="AC40" s="429">
        <f t="shared" si="10"/>
        <v>12.205839037684678</v>
      </c>
      <c r="AD40" s="430">
        <f t="shared" si="11"/>
        <v>39.05868492059097</v>
      </c>
    </row>
    <row r="41" spans="1:81">
      <c r="B41" s="314" t="s">
        <v>21</v>
      </c>
      <c r="C41" s="315">
        <v>950</v>
      </c>
      <c r="D41" s="315">
        <v>1400</v>
      </c>
      <c r="E41" s="315">
        <v>2100</v>
      </c>
      <c r="F41" s="316">
        <v>2800</v>
      </c>
      <c r="G41" s="706"/>
      <c r="H41" s="537">
        <v>187.03603125946927</v>
      </c>
      <c r="I41" s="538">
        <v>164.97205339583584</v>
      </c>
      <c r="J41" s="538">
        <v>110.42937765098664</v>
      </c>
      <c r="K41" s="538">
        <v>97.021372351906265</v>
      </c>
      <c r="L41" s="429">
        <f t="shared" si="5"/>
        <v>2.488238788033283E-2</v>
      </c>
      <c r="M41" s="429">
        <f t="shared" si="12"/>
        <v>2.4810852666810421E-2</v>
      </c>
      <c r="N41" s="429">
        <f t="shared" si="13"/>
        <v>2.3859700099081567E-2</v>
      </c>
      <c r="O41" s="429">
        <f t="shared" si="14"/>
        <v>2.3397678046639454E-2</v>
      </c>
      <c r="P41" s="429">
        <f t="shared" si="6"/>
        <v>2.4237654673216064E-2</v>
      </c>
      <c r="Q41" s="538">
        <f t="shared" si="7"/>
        <v>23.025771939555259</v>
      </c>
      <c r="R41" s="541">
        <f t="shared" si="1"/>
        <v>67.86543308500498</v>
      </c>
      <c r="S41" s="27"/>
      <c r="T41" s="537">
        <v>3005.6958806521457</v>
      </c>
      <c r="U41" s="538">
        <v>2747.6008983385373</v>
      </c>
      <c r="V41" s="538">
        <v>2160.5705121737551</v>
      </c>
      <c r="W41" s="538">
        <v>1229.5905139962283</v>
      </c>
      <c r="X41" s="429">
        <f t="shared" si="8"/>
        <v>2.3149943958520425E-2</v>
      </c>
      <c r="Y41" s="429">
        <f t="shared" si="2"/>
        <v>2.3266868440055922E-2</v>
      </c>
      <c r="Z41" s="429">
        <f t="shared" si="3"/>
        <v>2.3017058400678227E-2</v>
      </c>
      <c r="AA41" s="429">
        <f t="shared" si="4"/>
        <v>2.0966691505332594E-2</v>
      </c>
      <c r="AB41" s="429">
        <f t="shared" si="9"/>
        <v>2.2600140576146791E-2</v>
      </c>
      <c r="AC41" s="429">
        <f t="shared" si="10"/>
        <v>21.470133547339451</v>
      </c>
      <c r="AD41" s="430">
        <f t="shared" si="11"/>
        <v>63.280393613211018</v>
      </c>
    </row>
    <row r="42" spans="1:81">
      <c r="B42" s="314" t="s">
        <v>22</v>
      </c>
      <c r="C42" s="317">
        <v>660</v>
      </c>
      <c r="D42" s="315">
        <v>960</v>
      </c>
      <c r="E42" s="317">
        <v>1500</v>
      </c>
      <c r="F42" s="724">
        <v>2000</v>
      </c>
      <c r="G42" s="705"/>
      <c r="H42" s="537">
        <v>37.844724606688345</v>
      </c>
      <c r="I42" s="538">
        <v>34.130046797834609</v>
      </c>
      <c r="J42" s="538">
        <v>25.008333648756782</v>
      </c>
      <c r="K42" s="538">
        <v>21.740730438733518</v>
      </c>
      <c r="L42" s="429">
        <f t="shared" si="5"/>
        <v>5.0346829460984994E-3</v>
      </c>
      <c r="M42" s="429">
        <f t="shared" si="12"/>
        <v>5.1329637061654819E-3</v>
      </c>
      <c r="N42" s="429">
        <f t="shared" si="13"/>
        <v>5.4033750214816673E-3</v>
      </c>
      <c r="O42" s="429">
        <f t="shared" si="14"/>
        <v>5.2429954243403036E-3</v>
      </c>
      <c r="P42" s="429">
        <f t="shared" si="6"/>
        <v>5.2035042745214883E-3</v>
      </c>
      <c r="Q42" s="538">
        <f t="shared" si="7"/>
        <v>3.4343128211841822</v>
      </c>
      <c r="R42" s="541">
        <f t="shared" si="1"/>
        <v>10.407008549042976</v>
      </c>
      <c r="S42" s="27"/>
      <c r="T42" s="537">
        <v>866.67547774705565</v>
      </c>
      <c r="U42" s="538">
        <v>807.61625193790144</v>
      </c>
      <c r="V42" s="538">
        <v>679.56798151015869</v>
      </c>
      <c r="W42" s="538">
        <v>366.79551271637331</v>
      </c>
      <c r="X42" s="429">
        <f t="shared" si="8"/>
        <v>6.6751559494818485E-3</v>
      </c>
      <c r="Y42" s="429">
        <f t="shared" si="2"/>
        <v>6.8389485151401971E-3</v>
      </c>
      <c r="Z42" s="429">
        <f t="shared" si="3"/>
        <v>7.2395952039136348E-3</v>
      </c>
      <c r="AA42" s="429">
        <f t="shared" si="4"/>
        <v>6.2545117851227081E-3</v>
      </c>
      <c r="AB42" s="429">
        <f t="shared" si="9"/>
        <v>6.7520528634145965E-3</v>
      </c>
      <c r="AC42" s="429">
        <f t="shared" si="10"/>
        <v>4.4563548898536336</v>
      </c>
      <c r="AD42" s="430">
        <f t="shared" si="11"/>
        <v>13.504105726829193</v>
      </c>
    </row>
    <row r="43" spans="1:81">
      <c r="B43" s="314" t="s">
        <v>23</v>
      </c>
      <c r="C43" s="317">
        <v>1400</v>
      </c>
      <c r="D43" s="315">
        <v>2000</v>
      </c>
      <c r="E43" s="317">
        <v>3200</v>
      </c>
      <c r="F43" s="724">
        <v>4400</v>
      </c>
      <c r="G43" s="705"/>
      <c r="H43" s="537">
        <v>29.811295956586882</v>
      </c>
      <c r="I43" s="538">
        <v>27.176462162545139</v>
      </c>
      <c r="J43" s="538">
        <v>20.544566450229478</v>
      </c>
      <c r="K43" s="538">
        <v>17.125630734627155</v>
      </c>
      <c r="L43" s="429">
        <f t="shared" si="5"/>
        <v>3.9659536411898594E-3</v>
      </c>
      <c r="M43" s="429">
        <f t="shared" si="12"/>
        <v>4.0871843735993361E-3</v>
      </c>
      <c r="N43" s="429">
        <f t="shared" si="13"/>
        <v>4.4389201913042613E-3</v>
      </c>
      <c r="O43" s="429">
        <f t="shared" si="14"/>
        <v>4.1300177946469417E-3</v>
      </c>
      <c r="P43" s="429">
        <f t="shared" si="6"/>
        <v>4.1555190001851001E-3</v>
      </c>
      <c r="Q43" s="538">
        <f t="shared" si="7"/>
        <v>5.8177266002591397</v>
      </c>
      <c r="R43" s="541">
        <f t="shared" si="1"/>
        <v>18.28428360081444</v>
      </c>
      <c r="S43" s="27"/>
      <c r="T43" s="537">
        <v>769.53259302182767</v>
      </c>
      <c r="U43" s="538">
        <v>722.58833063352222</v>
      </c>
      <c r="V43" s="538">
        <v>622.4843334203407</v>
      </c>
      <c r="W43" s="538">
        <v>312.28813998307146</v>
      </c>
      <c r="X43" s="429">
        <f t="shared" si="8"/>
        <v>5.9269590504429127E-3</v>
      </c>
      <c r="Y43" s="429">
        <f t="shared" si="2"/>
        <v>6.118926382407343E-3</v>
      </c>
      <c r="Z43" s="429">
        <f t="shared" si="3"/>
        <v>6.6314698710888392E-3</v>
      </c>
      <c r="AA43" s="429">
        <f t="shared" si="4"/>
        <v>5.3250647408778443E-3</v>
      </c>
      <c r="AB43" s="429">
        <f t="shared" si="9"/>
        <v>6.0006050112042346E-3</v>
      </c>
      <c r="AC43" s="429">
        <f t="shared" si="10"/>
        <v>8.4008470156859278</v>
      </c>
      <c r="AD43" s="430">
        <f t="shared" si="11"/>
        <v>26.402662049298634</v>
      </c>
    </row>
    <row r="44" spans="1:81">
      <c r="B44" s="314" t="s">
        <v>24</v>
      </c>
      <c r="C44" s="317">
        <v>380</v>
      </c>
      <c r="D44" s="315">
        <v>510</v>
      </c>
      <c r="E44" s="317">
        <v>920</v>
      </c>
      <c r="F44" s="724">
        <v>1100</v>
      </c>
      <c r="G44" s="705"/>
      <c r="H44" s="537">
        <v>446.47017535354297</v>
      </c>
      <c r="I44" s="538">
        <v>394.20045624780357</v>
      </c>
      <c r="J44" s="538">
        <v>263.74852839292873</v>
      </c>
      <c r="K44" s="538">
        <v>239.14154523876715</v>
      </c>
      <c r="L44" s="429">
        <f t="shared" si="5"/>
        <v>5.9396277847317887E-2</v>
      </c>
      <c r="M44" s="429">
        <f t="shared" si="12"/>
        <v>5.9285492541493554E-2</v>
      </c>
      <c r="N44" s="429">
        <f t="shared" si="13"/>
        <v>5.6986292261089769E-2</v>
      </c>
      <c r="O44" s="429">
        <f t="shared" si="14"/>
        <v>5.7671384638609491E-2</v>
      </c>
      <c r="P44" s="429">
        <f t="shared" si="6"/>
        <v>5.8334861822127673E-2</v>
      </c>
      <c r="Q44" s="538">
        <f t="shared" si="7"/>
        <v>22.167247492408517</v>
      </c>
      <c r="R44" s="541">
        <f t="shared" si="1"/>
        <v>64.168348004340444</v>
      </c>
      <c r="S44" s="27"/>
      <c r="T44" s="537">
        <v>10030.438181075873</v>
      </c>
      <c r="U44" s="538">
        <v>9192.6743077711471</v>
      </c>
      <c r="V44" s="538">
        <v>7374.0175592337882</v>
      </c>
      <c r="W44" s="538">
        <v>4632.362321704376</v>
      </c>
      <c r="X44" s="429">
        <f t="shared" si="8"/>
        <v>7.7254682772805575E-2</v>
      </c>
      <c r="Y44" s="429">
        <f t="shared" si="2"/>
        <v>7.7844181758904146E-2</v>
      </c>
      <c r="Z44" s="429">
        <f t="shared" si="3"/>
        <v>7.8557118063111428E-2</v>
      </c>
      <c r="AA44" s="429">
        <f t="shared" si="4"/>
        <v>7.8989965061164943E-2</v>
      </c>
      <c r="AB44" s="429">
        <f t="shared" si="9"/>
        <v>7.8161486913996533E-2</v>
      </c>
      <c r="AC44" s="429">
        <f t="shared" si="10"/>
        <v>29.701365027318683</v>
      </c>
      <c r="AD44" s="430">
        <f t="shared" si="11"/>
        <v>85.977635605396188</v>
      </c>
    </row>
    <row r="45" spans="1:81" s="99" customFormat="1" ht="15.75" thickBot="1">
      <c r="A45" s="27"/>
      <c r="B45" s="314" t="s">
        <v>25</v>
      </c>
      <c r="C45" s="317">
        <v>330</v>
      </c>
      <c r="D45" s="315">
        <v>440</v>
      </c>
      <c r="E45" s="317">
        <v>780</v>
      </c>
      <c r="F45" s="724">
        <v>980</v>
      </c>
      <c r="G45" s="705"/>
      <c r="H45" s="537">
        <v>133.91798545353987</v>
      </c>
      <c r="I45" s="538">
        <v>123.60630167332462</v>
      </c>
      <c r="J45" s="538">
        <v>101.45263541168543</v>
      </c>
      <c r="K45" s="538">
        <v>99.608048660376667</v>
      </c>
      <c r="L45" s="429">
        <f t="shared" si="5"/>
        <v>1.7815814609459354E-2</v>
      </c>
      <c r="M45" s="429">
        <f t="shared" si="12"/>
        <v>1.858968035117874E-2</v>
      </c>
      <c r="N45" s="429">
        <f t="shared" si="13"/>
        <v>2.1920158445832279E-2</v>
      </c>
      <c r="O45" s="429">
        <f t="shared" si="14"/>
        <v>2.4021481008907813E-2</v>
      </c>
      <c r="P45" s="429">
        <f t="shared" si="6"/>
        <v>2.0586783603844548E-2</v>
      </c>
      <c r="Q45" s="538">
        <f t="shared" si="7"/>
        <v>6.793638589268701</v>
      </c>
      <c r="R45" s="541">
        <f t="shared" si="1"/>
        <v>20.175047931767658</v>
      </c>
      <c r="S45" s="27"/>
      <c r="T45" s="537">
        <v>1933.2431619106183</v>
      </c>
      <c r="U45" s="538">
        <v>1826.1230307460519</v>
      </c>
      <c r="V45" s="538">
        <v>1603.9385378713234</v>
      </c>
      <c r="W45" s="538">
        <v>1443.216138280271</v>
      </c>
      <c r="X45" s="429">
        <f t="shared" si="8"/>
        <v>1.4889886613117114E-2</v>
      </c>
      <c r="Y45" s="429">
        <f t="shared" si="2"/>
        <v>1.5463732137159002E-2</v>
      </c>
      <c r="Z45" s="429">
        <f t="shared" si="3"/>
        <v>1.7087128973235621E-2</v>
      </c>
      <c r="AA45" s="429">
        <f t="shared" si="4"/>
        <v>2.4609385972322723E-2</v>
      </c>
      <c r="AB45" s="429">
        <f t="shared" si="9"/>
        <v>1.8012533423958615E-2</v>
      </c>
      <c r="AC45" s="429">
        <f t="shared" si="10"/>
        <v>5.9441360299063435</v>
      </c>
      <c r="AD45" s="430">
        <f t="shared" si="11"/>
        <v>17.652282755479444</v>
      </c>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row>
    <row r="46" spans="1:81" ht="15.75" thickBot="1">
      <c r="B46" s="319" t="s">
        <v>26</v>
      </c>
      <c r="C46" s="320">
        <v>1100</v>
      </c>
      <c r="D46" s="321">
        <v>1600</v>
      </c>
      <c r="E46" s="320">
        <v>2500</v>
      </c>
      <c r="F46" s="725">
        <v>3200</v>
      </c>
      <c r="G46" s="705"/>
      <c r="H46" s="539">
        <v>1308.3675562634085</v>
      </c>
      <c r="I46" s="540">
        <v>1159.3995700787623</v>
      </c>
      <c r="J46" s="540">
        <v>827.41208913269611</v>
      </c>
      <c r="K46" s="540">
        <v>727.21325698527676</v>
      </c>
      <c r="L46" s="431">
        <f t="shared" si="5"/>
        <v>0.17405902384565863</v>
      </c>
      <c r="M46" s="431">
        <f t="shared" si="12"/>
        <v>0.17436705989327042</v>
      </c>
      <c r="N46" s="431">
        <f t="shared" si="13"/>
        <v>0.1787731193003268</v>
      </c>
      <c r="O46" s="431">
        <f t="shared" si="14"/>
        <v>0.17537477821354766</v>
      </c>
      <c r="P46" s="431">
        <f t="shared" si="6"/>
        <v>0.17564349531320086</v>
      </c>
      <c r="Q46" s="540">
        <f t="shared" si="7"/>
        <v>193.20784484452096</v>
      </c>
      <c r="R46" s="542">
        <f t="shared" si="1"/>
        <v>562.05918500224277</v>
      </c>
      <c r="S46" s="27"/>
      <c r="T46" s="539">
        <v>21496.715901102139</v>
      </c>
      <c r="U46" s="540">
        <v>19593.027128793892</v>
      </c>
      <c r="V46" s="540">
        <v>15697.280517251353</v>
      </c>
      <c r="W46" s="540">
        <v>10259.898382828593</v>
      </c>
      <c r="X46" s="431">
        <f t="shared" si="8"/>
        <v>0.16556823716136404</v>
      </c>
      <c r="Y46" s="431">
        <f t="shared" si="2"/>
        <v>0.16591506605772177</v>
      </c>
      <c r="Z46" s="431">
        <f t="shared" si="3"/>
        <v>0.16722676735687411</v>
      </c>
      <c r="AA46" s="431">
        <f t="shared" si="4"/>
        <v>0.17494940130083642</v>
      </c>
      <c r="AB46" s="431">
        <f t="shared" si="9"/>
        <v>0.16841486796919908</v>
      </c>
      <c r="AC46" s="431">
        <f t="shared" si="10"/>
        <v>185.25635476611899</v>
      </c>
      <c r="AD46" s="432">
        <f t="shared" si="11"/>
        <v>538.9275775014371</v>
      </c>
      <c r="AF46" s="707" t="s">
        <v>153</v>
      </c>
      <c r="AG46" s="708" t="s">
        <v>154</v>
      </c>
    </row>
    <row r="47" spans="1:81" s="27" customFormat="1" ht="15.75" thickBot="1">
      <c r="C47" s="703"/>
      <c r="G47" s="200"/>
      <c r="H47" s="709">
        <f>SUM(H20:H46)</f>
        <v>7516.8039401597598</v>
      </c>
      <c r="I47" s="709">
        <f t="shared" ref="I47:K47" si="15">SUM(I20:I46)</f>
        <v>6649.1891919748341</v>
      </c>
      <c r="J47" s="709">
        <f t="shared" si="15"/>
        <v>4628.2802043784868</v>
      </c>
      <c r="K47" s="709">
        <f t="shared" si="15"/>
        <v>4146.6239580914817</v>
      </c>
      <c r="L47" s="710">
        <f>SUM(L20:L46)</f>
        <v>1.0000000000000004</v>
      </c>
      <c r="M47" s="710">
        <f t="shared" ref="M47:O47" si="16">SUM(M20:M46)</f>
        <v>0.99999999999999944</v>
      </c>
      <c r="N47" s="710">
        <f t="shared" si="16"/>
        <v>0.99999999999999989</v>
      </c>
      <c r="O47" s="710">
        <f t="shared" si="16"/>
        <v>0.99999999999999978</v>
      </c>
      <c r="P47" s="710"/>
      <c r="Q47" s="709">
        <f>SUM(Q20:Q46)</f>
        <v>1119.8424935851642</v>
      </c>
      <c r="R47" s="709">
        <f>SUM(R20:R46)</f>
        <v>3368.1431102987867</v>
      </c>
      <c r="T47" s="710">
        <f>SUM(T20:T46)</f>
        <v>129835.98949689414</v>
      </c>
      <c r="U47" s="710">
        <f t="shared" ref="U47" si="17">SUM(U20:U46)</f>
        <v>118090.7050477109</v>
      </c>
      <c r="V47" s="710">
        <f t="shared" ref="V47" si="18">SUM(V20:V46)</f>
        <v>93868.229143915771</v>
      </c>
      <c r="W47" s="710">
        <f t="shared" ref="W47" si="19">SUM(W20:W46)</f>
        <v>58644.947090650836</v>
      </c>
      <c r="X47" s="710">
        <f>SUM(X20:X46)</f>
        <v>1</v>
      </c>
      <c r="Y47" s="710">
        <f t="shared" ref="Y47" si="20">SUM(Y20:Y46)</f>
        <v>1</v>
      </c>
      <c r="Z47" s="710">
        <f t="shared" ref="Z47" si="21">SUM(Z20:Z46)</f>
        <v>1</v>
      </c>
      <c r="AA47" s="710">
        <f t="shared" ref="AA47" si="22">SUM(AA20:AA46)</f>
        <v>0.99999999999999978</v>
      </c>
      <c r="AB47" s="710"/>
      <c r="AC47" s="709">
        <f>SUM(AC20:AC46)</f>
        <v>1076.3027819009362</v>
      </c>
      <c r="AD47" s="709">
        <f>SUM(AD20:AD46)</f>
        <v>3238.590029854211</v>
      </c>
      <c r="AF47" s="711">
        <f>AVERAGE(Q47,AC47)</f>
        <v>1098.0726377430501</v>
      </c>
      <c r="AG47" s="712">
        <f>AVERAGE(R47,AD47)</f>
        <v>3303.3665700764986</v>
      </c>
    </row>
    <row r="48" spans="1:81" s="27" customFormat="1">
      <c r="B48" s="713" t="s">
        <v>134</v>
      </c>
      <c r="C48" s="206" t="s">
        <v>99</v>
      </c>
      <c r="D48" s="200"/>
      <c r="G48" s="200"/>
      <c r="H48" s="200"/>
      <c r="I48" s="200"/>
      <c r="J48" s="200"/>
      <c r="K48" s="200"/>
      <c r="L48" s="200"/>
      <c r="M48" s="200"/>
      <c r="N48" s="200"/>
      <c r="O48" s="200"/>
      <c r="P48" s="200"/>
      <c r="Q48" s="200"/>
      <c r="R48" s="200"/>
    </row>
    <row r="49" spans="3:3" s="27" customFormat="1">
      <c r="C49" s="703"/>
    </row>
    <row r="50" spans="3:3" s="27" customFormat="1">
      <c r="C50" s="703"/>
    </row>
    <row r="51" spans="3:3" s="27" customFormat="1">
      <c r="C51" s="703"/>
    </row>
    <row r="52" spans="3:3" s="27" customFormat="1">
      <c r="C52" s="703"/>
    </row>
    <row r="53" spans="3:3" s="27" customFormat="1">
      <c r="C53" s="703"/>
    </row>
    <row r="54" spans="3:3" s="27" customFormat="1">
      <c r="C54" s="703"/>
    </row>
    <row r="55" spans="3:3" s="27" customFormat="1">
      <c r="C55" s="703"/>
    </row>
    <row r="56" spans="3:3" s="27" customFormat="1">
      <c r="C56" s="703"/>
    </row>
    <row r="57" spans="3:3" s="27" customFormat="1">
      <c r="C57" s="703"/>
    </row>
    <row r="58" spans="3:3" s="27" customFormat="1">
      <c r="C58" s="703"/>
    </row>
    <row r="59" spans="3:3" s="27" customFormat="1">
      <c r="C59" s="703"/>
    </row>
    <row r="60" spans="3:3" s="27" customFormat="1">
      <c r="C60" s="703"/>
    </row>
    <row r="61" spans="3:3" s="27" customFormat="1">
      <c r="C61" s="703"/>
    </row>
    <row r="62" spans="3:3" s="27" customFormat="1">
      <c r="C62" s="703"/>
    </row>
    <row r="63" spans="3:3" s="27" customFormat="1">
      <c r="C63" s="703"/>
    </row>
    <row r="64" spans="3:3" s="27" customFormat="1">
      <c r="C64" s="703"/>
    </row>
    <row r="65" spans="3:3" s="27" customFormat="1">
      <c r="C65" s="703"/>
    </row>
    <row r="66" spans="3:3" s="27" customFormat="1">
      <c r="C66" s="703"/>
    </row>
    <row r="67" spans="3:3" s="27" customFormat="1">
      <c r="C67" s="703"/>
    </row>
    <row r="68" spans="3:3" s="27" customFormat="1">
      <c r="C68" s="703"/>
    </row>
    <row r="69" spans="3:3" s="27" customFormat="1">
      <c r="C69" s="703"/>
    </row>
    <row r="70" spans="3:3" s="27" customFormat="1">
      <c r="C70" s="703"/>
    </row>
    <row r="71" spans="3:3" s="27" customFormat="1">
      <c r="C71" s="703"/>
    </row>
    <row r="72" spans="3:3" s="27" customFormat="1">
      <c r="C72" s="703"/>
    </row>
    <row r="73" spans="3:3" s="27" customFormat="1">
      <c r="C73" s="703"/>
    </row>
    <row r="74" spans="3:3" s="27" customFormat="1">
      <c r="C74" s="703"/>
    </row>
    <row r="75" spans="3:3" s="27" customFormat="1">
      <c r="C75" s="703"/>
    </row>
    <row r="76" spans="3:3" s="27" customFormat="1">
      <c r="C76" s="703"/>
    </row>
    <row r="77" spans="3:3" s="27" customFormat="1">
      <c r="C77" s="703"/>
    </row>
    <row r="78" spans="3:3" s="27" customFormat="1">
      <c r="C78" s="703"/>
    </row>
    <row r="79" spans="3:3" s="27" customFormat="1">
      <c r="C79" s="703"/>
    </row>
    <row r="80" spans="3:3" s="27" customFormat="1">
      <c r="C80" s="703"/>
    </row>
    <row r="81" spans="3:3" s="27" customFormat="1">
      <c r="C81" s="703"/>
    </row>
    <row r="82" spans="3:3" s="27" customFormat="1">
      <c r="C82" s="703"/>
    </row>
    <row r="83" spans="3:3" s="27" customFormat="1">
      <c r="C83" s="703"/>
    </row>
    <row r="84" spans="3:3" s="27" customFormat="1">
      <c r="C84" s="703"/>
    </row>
    <row r="85" spans="3:3" s="27" customFormat="1">
      <c r="C85" s="703"/>
    </row>
    <row r="86" spans="3:3" s="27" customFormat="1">
      <c r="C86" s="703"/>
    </row>
    <row r="87" spans="3:3" s="27" customFormat="1">
      <c r="C87" s="703"/>
    </row>
    <row r="88" spans="3:3" s="27" customFormat="1">
      <c r="C88" s="703"/>
    </row>
    <row r="89" spans="3:3" s="27" customFormat="1">
      <c r="C89" s="703"/>
    </row>
    <row r="90" spans="3:3" s="27" customFormat="1">
      <c r="C90" s="703"/>
    </row>
    <row r="91" spans="3:3" s="27" customFormat="1">
      <c r="C91" s="703"/>
    </row>
    <row r="92" spans="3:3" s="27" customFormat="1">
      <c r="C92" s="703"/>
    </row>
    <row r="93" spans="3:3" s="27" customFormat="1">
      <c r="C93" s="703"/>
    </row>
    <row r="94" spans="3:3" s="27" customFormat="1">
      <c r="C94" s="703"/>
    </row>
    <row r="95" spans="3:3" s="27" customFormat="1">
      <c r="C95" s="703"/>
    </row>
    <row r="96" spans="3:3" s="27" customFormat="1">
      <c r="C96" s="703"/>
    </row>
    <row r="97" spans="3:3" s="27" customFormat="1">
      <c r="C97" s="703"/>
    </row>
    <row r="98" spans="3:3" s="27" customFormat="1">
      <c r="C98" s="703"/>
    </row>
    <row r="99" spans="3:3" s="27" customFormat="1">
      <c r="C99" s="703"/>
    </row>
    <row r="100" spans="3:3" s="27" customFormat="1">
      <c r="C100" s="703"/>
    </row>
    <row r="101" spans="3:3" s="27" customFormat="1">
      <c r="C101" s="703"/>
    </row>
    <row r="102" spans="3:3" s="27" customFormat="1">
      <c r="C102" s="703"/>
    </row>
    <row r="103" spans="3:3" s="27" customFormat="1">
      <c r="C103" s="703"/>
    </row>
    <row r="104" spans="3:3" s="27" customFormat="1">
      <c r="C104" s="703"/>
    </row>
    <row r="105" spans="3:3" s="27" customFormat="1">
      <c r="C105" s="703"/>
    </row>
    <row r="106" spans="3:3" s="27" customFormat="1">
      <c r="C106" s="703"/>
    </row>
    <row r="107" spans="3:3" s="27" customFormat="1">
      <c r="C107" s="703"/>
    </row>
    <row r="108" spans="3:3" s="27" customFormat="1">
      <c r="C108" s="703"/>
    </row>
    <row r="109" spans="3:3" s="27" customFormat="1">
      <c r="C109" s="703"/>
    </row>
    <row r="110" spans="3:3" s="27" customFormat="1">
      <c r="C110" s="703"/>
    </row>
    <row r="111" spans="3:3" s="27" customFormat="1">
      <c r="C111" s="703"/>
    </row>
    <row r="112" spans="3:3" s="27" customFormat="1">
      <c r="C112" s="703"/>
    </row>
    <row r="113" spans="3:3" s="27" customFormat="1">
      <c r="C113" s="703"/>
    </row>
    <row r="114" spans="3:3" s="27" customFormat="1">
      <c r="C114" s="703"/>
    </row>
    <row r="115" spans="3:3" s="27" customFormat="1">
      <c r="C115" s="703"/>
    </row>
    <row r="116" spans="3:3" s="27" customFormat="1">
      <c r="C116" s="703"/>
    </row>
    <row r="117" spans="3:3" s="27" customFormat="1">
      <c r="C117" s="703"/>
    </row>
    <row r="118" spans="3:3" s="27" customFormat="1">
      <c r="C118" s="703"/>
    </row>
    <row r="119" spans="3:3" s="27" customFormat="1">
      <c r="C119" s="703"/>
    </row>
    <row r="120" spans="3:3" s="27" customFormat="1">
      <c r="C120" s="703"/>
    </row>
    <row r="121" spans="3:3" s="27" customFormat="1">
      <c r="C121" s="703"/>
    </row>
    <row r="122" spans="3:3" s="27" customFormat="1">
      <c r="C122" s="703"/>
    </row>
    <row r="123" spans="3:3" s="27" customFormat="1">
      <c r="C123" s="703"/>
    </row>
    <row r="124" spans="3:3" s="27" customFormat="1">
      <c r="C124" s="703"/>
    </row>
    <row r="125" spans="3:3" s="27" customFormat="1">
      <c r="C125" s="703"/>
    </row>
    <row r="126" spans="3:3" s="27" customFormat="1">
      <c r="C126" s="703"/>
    </row>
    <row r="127" spans="3:3" s="27" customFormat="1">
      <c r="C127" s="703"/>
    </row>
    <row r="128" spans="3:3" s="27" customFormat="1">
      <c r="C128" s="703"/>
    </row>
    <row r="129" spans="3:3" s="27" customFormat="1">
      <c r="C129" s="703"/>
    </row>
    <row r="130" spans="3:3" s="27" customFormat="1">
      <c r="C130" s="703"/>
    </row>
    <row r="131" spans="3:3" s="27" customFormat="1">
      <c r="C131" s="703"/>
    </row>
    <row r="132" spans="3:3" s="27" customFormat="1">
      <c r="C132" s="703"/>
    </row>
    <row r="133" spans="3:3" s="27" customFormat="1">
      <c r="C133" s="703"/>
    </row>
    <row r="134" spans="3:3" s="27" customFormat="1">
      <c r="C134" s="703"/>
    </row>
    <row r="135" spans="3:3" s="27" customFormat="1">
      <c r="C135" s="703"/>
    </row>
    <row r="136" spans="3:3" s="27" customFormat="1">
      <c r="C136" s="703"/>
    </row>
    <row r="137" spans="3:3" s="27" customFormat="1">
      <c r="C137" s="703"/>
    </row>
    <row r="138" spans="3:3" s="27" customFormat="1">
      <c r="C138" s="703"/>
    </row>
    <row r="139" spans="3:3" s="27" customFormat="1">
      <c r="C139" s="703"/>
    </row>
    <row r="140" spans="3:3" s="27" customFormat="1">
      <c r="C140" s="703"/>
    </row>
    <row r="141" spans="3:3" s="27" customFormat="1">
      <c r="C141" s="703"/>
    </row>
    <row r="142" spans="3:3" s="27" customFormat="1">
      <c r="C142" s="703"/>
    </row>
    <row r="143" spans="3:3" s="27" customFormat="1">
      <c r="C143" s="703"/>
    </row>
    <row r="144" spans="3:3" s="27" customFormat="1">
      <c r="C144" s="703"/>
    </row>
    <row r="145" spans="3:3" s="27" customFormat="1">
      <c r="C145" s="703"/>
    </row>
    <row r="146" spans="3:3" s="27" customFormat="1">
      <c r="C146" s="703"/>
    </row>
    <row r="147" spans="3:3" s="27" customFormat="1">
      <c r="C147" s="703"/>
    </row>
    <row r="148" spans="3:3" s="27" customFormat="1">
      <c r="C148" s="703"/>
    </row>
    <row r="149" spans="3:3" s="27" customFormat="1">
      <c r="C149" s="703"/>
    </row>
    <row r="150" spans="3:3" s="27" customFormat="1">
      <c r="C150" s="703"/>
    </row>
    <row r="151" spans="3:3" s="27" customFormat="1">
      <c r="C151" s="703"/>
    </row>
    <row r="152" spans="3:3" s="27" customFormat="1">
      <c r="C152" s="703"/>
    </row>
    <row r="153" spans="3:3" s="27" customFormat="1">
      <c r="C153" s="703"/>
    </row>
    <row r="154" spans="3:3" s="27" customFormat="1">
      <c r="C154" s="703"/>
    </row>
    <row r="155" spans="3:3" s="27" customFormat="1">
      <c r="C155" s="703"/>
    </row>
    <row r="156" spans="3:3" s="27" customFormat="1">
      <c r="C156" s="703"/>
    </row>
    <row r="157" spans="3:3" s="27" customFormat="1">
      <c r="C157" s="703"/>
    </row>
    <row r="158" spans="3:3" s="27" customFormat="1">
      <c r="C158" s="703"/>
    </row>
    <row r="159" spans="3:3" s="27" customFormat="1">
      <c r="C159" s="703"/>
    </row>
    <row r="160" spans="3:3" s="27" customFormat="1">
      <c r="C160" s="703"/>
    </row>
    <row r="161" spans="3:3" s="27" customFormat="1">
      <c r="C161" s="703"/>
    </row>
    <row r="162" spans="3:3" s="27" customFormat="1">
      <c r="C162" s="703"/>
    </row>
    <row r="163" spans="3:3" s="27" customFormat="1">
      <c r="C163" s="703"/>
    </row>
    <row r="164" spans="3:3" s="27" customFormat="1">
      <c r="C164" s="703"/>
    </row>
    <row r="165" spans="3:3" s="27" customFormat="1">
      <c r="C165" s="703"/>
    </row>
    <row r="166" spans="3:3" s="27" customFormat="1">
      <c r="C166" s="703"/>
    </row>
    <row r="167" spans="3:3" s="27" customFormat="1">
      <c r="C167" s="703"/>
    </row>
    <row r="168" spans="3:3" s="27" customFormat="1">
      <c r="C168" s="703"/>
    </row>
    <row r="169" spans="3:3" s="27" customFormat="1">
      <c r="C169" s="703"/>
    </row>
    <row r="170" spans="3:3" s="27" customFormat="1">
      <c r="C170" s="703"/>
    </row>
    <row r="171" spans="3:3" s="27" customFormat="1">
      <c r="C171" s="703"/>
    </row>
    <row r="172" spans="3:3" s="27" customFormat="1">
      <c r="C172" s="703"/>
    </row>
    <row r="173" spans="3:3" s="27" customFormat="1">
      <c r="C173" s="703"/>
    </row>
    <row r="174" spans="3:3" s="27" customFormat="1">
      <c r="C174" s="703"/>
    </row>
    <row r="175" spans="3:3" s="27" customFormat="1">
      <c r="C175" s="703"/>
    </row>
    <row r="176" spans="3:3" s="27" customFormat="1">
      <c r="C176" s="703"/>
    </row>
    <row r="177" spans="3:3" s="27" customFormat="1">
      <c r="C177" s="703"/>
    </row>
    <row r="178" spans="3:3" s="27" customFormat="1">
      <c r="C178" s="703"/>
    </row>
    <row r="179" spans="3:3" s="27" customFormat="1">
      <c r="C179" s="703"/>
    </row>
    <row r="180" spans="3:3" s="27" customFormat="1">
      <c r="C180" s="703"/>
    </row>
    <row r="181" spans="3:3" s="27" customFormat="1">
      <c r="C181" s="703"/>
    </row>
    <row r="182" spans="3:3" s="27" customFormat="1">
      <c r="C182" s="703"/>
    </row>
    <row r="183" spans="3:3" s="27" customFormat="1">
      <c r="C183" s="703"/>
    </row>
    <row r="184" spans="3:3" s="27" customFormat="1">
      <c r="C184" s="703"/>
    </row>
    <row r="185" spans="3:3" s="27" customFormat="1">
      <c r="C185" s="703"/>
    </row>
    <row r="186" spans="3:3" s="27" customFormat="1">
      <c r="C186" s="703"/>
    </row>
    <row r="187" spans="3:3" s="27" customFormat="1">
      <c r="C187" s="703"/>
    </row>
    <row r="188" spans="3:3" s="27" customFormat="1">
      <c r="C188" s="703"/>
    </row>
    <row r="189" spans="3:3" s="27" customFormat="1">
      <c r="C189" s="703"/>
    </row>
    <row r="190" spans="3:3" s="27" customFormat="1">
      <c r="C190" s="703"/>
    </row>
    <row r="191" spans="3:3" s="27" customFormat="1">
      <c r="C191" s="703"/>
    </row>
    <row r="192" spans="3:3" s="27" customFormat="1">
      <c r="C192" s="703"/>
    </row>
    <row r="193" spans="3:3" s="27" customFormat="1">
      <c r="C193" s="703"/>
    </row>
    <row r="194" spans="3:3" s="27" customFormat="1">
      <c r="C194" s="703"/>
    </row>
    <row r="195" spans="3:3" s="27" customFormat="1">
      <c r="C195" s="703"/>
    </row>
    <row r="196" spans="3:3" s="27" customFormat="1">
      <c r="C196" s="703"/>
    </row>
    <row r="197" spans="3:3" s="27" customFormat="1">
      <c r="C197" s="703"/>
    </row>
    <row r="198" spans="3:3" s="27" customFormat="1">
      <c r="C198" s="703"/>
    </row>
    <row r="199" spans="3:3" s="27" customFormat="1">
      <c r="C199" s="703"/>
    </row>
    <row r="200" spans="3:3" s="27" customFormat="1">
      <c r="C200" s="703"/>
    </row>
    <row r="201" spans="3:3" s="27" customFormat="1">
      <c r="C201" s="703"/>
    </row>
    <row r="202" spans="3:3" s="27" customFormat="1">
      <c r="C202" s="703"/>
    </row>
    <row r="203" spans="3:3" s="27" customFormat="1">
      <c r="C203" s="703"/>
    </row>
    <row r="204" spans="3:3" s="27" customFormat="1">
      <c r="C204" s="703"/>
    </row>
    <row r="205" spans="3:3" s="27" customFormat="1">
      <c r="C205" s="703"/>
    </row>
    <row r="206" spans="3:3" s="27" customFormat="1">
      <c r="C206" s="703"/>
    </row>
    <row r="207" spans="3:3" s="27" customFormat="1">
      <c r="C207" s="703"/>
    </row>
    <row r="208" spans="3:3" s="27" customFormat="1">
      <c r="C208" s="703"/>
    </row>
    <row r="209" spans="3:3" s="27" customFormat="1">
      <c r="C209" s="703"/>
    </row>
    <row r="210" spans="3:3" s="27" customFormat="1">
      <c r="C210" s="703"/>
    </row>
    <row r="211" spans="3:3" s="27" customFormat="1">
      <c r="C211" s="703"/>
    </row>
    <row r="212" spans="3:3" s="27" customFormat="1">
      <c r="C212" s="703"/>
    </row>
    <row r="213" spans="3:3" s="27" customFormat="1">
      <c r="C213" s="703"/>
    </row>
    <row r="214" spans="3:3" s="27" customFormat="1">
      <c r="C214" s="703"/>
    </row>
    <row r="215" spans="3:3" s="27" customFormat="1">
      <c r="C215" s="703"/>
    </row>
    <row r="216" spans="3:3" s="27" customFormat="1">
      <c r="C216" s="703"/>
    </row>
    <row r="217" spans="3:3" s="27" customFormat="1">
      <c r="C217" s="703"/>
    </row>
    <row r="218" spans="3:3" s="27" customFormat="1">
      <c r="C218" s="703"/>
    </row>
    <row r="219" spans="3:3" s="27" customFormat="1">
      <c r="C219" s="703"/>
    </row>
    <row r="220" spans="3:3" s="27" customFormat="1">
      <c r="C220" s="703"/>
    </row>
    <row r="221" spans="3:3" s="27" customFormat="1">
      <c r="C221" s="703"/>
    </row>
    <row r="222" spans="3:3" s="27" customFormat="1">
      <c r="C222" s="703"/>
    </row>
    <row r="223" spans="3:3" s="27" customFormat="1">
      <c r="C223" s="703"/>
    </row>
    <row r="224" spans="3:3" s="27" customFormat="1">
      <c r="C224" s="703"/>
    </row>
    <row r="225" spans="3:3" s="27" customFormat="1">
      <c r="C225" s="703"/>
    </row>
    <row r="226" spans="3:3" s="27" customFormat="1">
      <c r="C226" s="703"/>
    </row>
    <row r="227" spans="3:3" s="27" customFormat="1">
      <c r="C227" s="703"/>
    </row>
    <row r="228" spans="3:3" s="27" customFormat="1">
      <c r="C228" s="703"/>
    </row>
    <row r="229" spans="3:3" s="27" customFormat="1">
      <c r="C229" s="703"/>
    </row>
    <row r="230" spans="3:3" s="27" customFormat="1">
      <c r="C230" s="703"/>
    </row>
    <row r="231" spans="3:3" s="27" customFormat="1">
      <c r="C231" s="703"/>
    </row>
    <row r="232" spans="3:3" s="27" customFormat="1">
      <c r="C232" s="703"/>
    </row>
    <row r="233" spans="3:3" s="27" customFormat="1">
      <c r="C233" s="703"/>
    </row>
    <row r="234" spans="3:3" s="27" customFormat="1">
      <c r="C234" s="703"/>
    </row>
    <row r="235" spans="3:3" s="27" customFormat="1">
      <c r="C235" s="703"/>
    </row>
    <row r="236" spans="3:3" s="27" customFormat="1">
      <c r="C236" s="703"/>
    </row>
    <row r="237" spans="3:3" s="27" customFormat="1">
      <c r="C237" s="703"/>
    </row>
    <row r="238" spans="3:3" s="27" customFormat="1">
      <c r="C238" s="703"/>
    </row>
    <row r="239" spans="3:3" s="27" customFormat="1">
      <c r="C239" s="703"/>
    </row>
    <row r="240" spans="3:3" s="27" customFormat="1">
      <c r="C240" s="703"/>
    </row>
    <row r="241" spans="3:3" s="27" customFormat="1">
      <c r="C241" s="703"/>
    </row>
    <row r="242" spans="3:3" s="27" customFormat="1">
      <c r="C242" s="703"/>
    </row>
    <row r="243" spans="3:3" s="27" customFormat="1">
      <c r="C243" s="703"/>
    </row>
    <row r="244" spans="3:3" s="27" customFormat="1">
      <c r="C244" s="703"/>
    </row>
    <row r="245" spans="3:3" s="27" customFormat="1">
      <c r="C245" s="703"/>
    </row>
    <row r="246" spans="3:3" s="27" customFormat="1">
      <c r="C246" s="703"/>
    </row>
  </sheetData>
  <hyperlinks>
    <hyperlink ref="C48" r:id="rId1" display="(AEA Technology, 2005)"/>
  </hyperlinks>
  <pageMargins left="0.7" right="0.7" top="0.75" bottom="0.75" header="0.3" footer="0.3"/>
  <pageSetup orientation="portrait"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LEGENDA</vt:lpstr>
      <vt:lpstr>Summary EU27</vt:lpstr>
      <vt:lpstr>EU27_35%_2015_0%_2021</vt:lpstr>
      <vt:lpstr>EU27_PV  35% Mono_2015_0%_2021</vt:lpstr>
      <vt:lpstr>REF_SCENARIO Costs</vt:lpstr>
      <vt:lpstr>REF_EURO6 Sales</vt:lpstr>
      <vt:lpstr>REF_VOC Costs</vt:lpstr>
    </vt:vector>
  </TitlesOfParts>
  <Company>JRC-Ispra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Gary Haq</dc:creator>
  <cp:lastModifiedBy>Giorgio Martini</cp:lastModifiedBy>
  <cp:lastPrinted>2012-09-27T08:25:50Z</cp:lastPrinted>
  <dcterms:created xsi:type="dcterms:W3CDTF">2012-08-01T13:49:33Z</dcterms:created>
  <dcterms:modified xsi:type="dcterms:W3CDTF">2012-11-26T15:23:16Z</dcterms:modified>
</cp:coreProperties>
</file>